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6" lowestEdited="6" rupBuild="14420"/>
  <workbookPr defaultThemeVersion="124226"/>
  <bookViews>
    <workbookView xWindow="-105" yWindow="-105" windowWidth="19425" windowHeight="10425" firstSheet="2" activeTab="2" tabRatio="601"/>
  </bookViews>
  <sheets>
    <sheet name="Note for users" sheetId="1" r:id="rId3"/>
    <sheet name="1.Project Cost and MOF" sheetId="2" r:id="rId4"/>
    <sheet name="2.Capex Details" sheetId="3" r:id="rId5"/>
    <sheet name="3.Other Exp &amp; Taxes" sheetId="4" r:id="rId6"/>
    <sheet name="4.TL repayment sch" sheetId="5" r:id="rId7"/>
    <sheet name="5.Closing Stock &amp; W Capital" sheetId="6" r:id="rId8"/>
    <sheet name="6.Cons Profit &amp; Loss" sheetId="7" r:id="rId9"/>
    <sheet name="7.Balance Sheet" sheetId="8" r:id="rId10"/>
    <sheet name="8.Cash Flow " sheetId="9" r:id="rId11"/>
    <sheet name="9. Financial indiacators" sheetId="10" r:id="rId12"/>
    <sheet name="10.Grain Production details" sheetId="11" r:id="rId13"/>
    <sheet name="11.F&amp;V Crop Production details" sheetId="12" r:id="rId14"/>
    <sheet name="12.Facility 1 - Trading" sheetId="13" r:id="rId15"/>
    <sheet name="13.Facility 2 Grain Processing" sheetId="14" r:id="rId16"/>
    <sheet name="14. Facility 3 Warehouse" sheetId="15" r:id="rId17"/>
    <sheet name="15. Facility 4 Custom Hiring" sheetId="16" r:id="rId18"/>
    <sheet name="16.Facility 5 Agri Input" sheetId="17" r:id="rId19"/>
    <sheet name="17.Facility 6 Horti Processing " sheetId="18" r:id="rId20"/>
  </sheets>
  <externalReferences>
    <externalReference r:id="rId1"/>
    <externalReference r:id="rId2"/>
  </externalReferences>
  <definedNames>
    <definedName name="_xlnm.Print_Area" localSheetId="1">'1.Project Cost and MOF'!$A$1:$G$35</definedName>
    <definedName name="_xlnm.Print_Area" localSheetId="10">'10.Grain Production details'!$A$89:$H$119</definedName>
    <definedName name="_xlnm.Print_Area" localSheetId="11">'11.F&amp;V Crop Production details'!$A$1:$Z$133</definedName>
    <definedName name="_xlnm.Print_Area" localSheetId="12">'12.Facility 1 - Trading'!$A$1:$J$313</definedName>
    <definedName name="_xlnm.Print_Area" localSheetId="13">'13.Facility 2 Grain Processing'!$A$3:$J$189</definedName>
    <definedName name="_xlnm.Print_Area" localSheetId="14">'14. Facility 3 Warehouse'!$A$1:$K$51</definedName>
    <definedName name="_xlnm.Print_Area" localSheetId="15">'15. Facility 4 Custom Hiring'!$A$1:$U$62</definedName>
    <definedName name="_xlnm.Print_Area" localSheetId="16">'16.Facility 5 Agri Input'!$A$1:$J$284</definedName>
    <definedName name="_xlnm.Print_Area" localSheetId="17">'17.Facility 6 Horti Processing '!$A$1:$J$198</definedName>
    <definedName name="_xlnm.Print_Area" localSheetId="2">'2.Capex Details'!$A$1:$H$118</definedName>
    <definedName name="_xlnm.Print_Area" localSheetId="3">'3.Other Exp &amp; Taxes'!$A$1:$R$105</definedName>
    <definedName name="_xlnm.Print_Area" localSheetId="4">'4.TL repayment sch'!$A$1:$H$95</definedName>
    <definedName name="_xlnm.Print_Area" localSheetId="5">'5.Closing Stock &amp; W Capital'!$A$1:$L$64</definedName>
    <definedName name="_xlnm.Print_Area" localSheetId="6">'6.Cons Profit &amp; Loss'!$A$1:$I$56</definedName>
    <definedName name="_xlnm.Print_Area" localSheetId="7">'7.Balance Sheet'!$A$1:$I$50</definedName>
    <definedName name="_xlnm.Print_Area" localSheetId="8">'8.Cash Flow '!$A$1:$J$35</definedName>
  </definedNames>
</workbook>
</file>

<file path=xl/sharedStrings.xml><?xml version="1.0" encoding="utf-8"?>
<sst xmlns="http://schemas.openxmlformats.org/spreadsheetml/2006/main" uniqueCount="732" count="732">
  <si>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</si>
  <si>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</si>
  <si>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</si>
  <si>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</si>
  <si>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</si>
  <si>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</si>
  <si>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</si>
  <si>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</si>
  <si>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</si>
  <si>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</si>
  <si>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</si>
  <si>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</si>
  <si>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</si>
  <si>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</si>
  <si>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</si>
  <si>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</si>
  <si>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</si>
  <si>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</si>
  <si>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</si>
  <si>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</si>
  <si>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</si>
  <si>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</si>
  <si>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</si>
  <si>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</si>
  <si>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</si>
  <si>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</si>
  <si>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</si>
  <si>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</si>
  <si>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</si>
  <si>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</si>
  <si>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</si>
  <si>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</si>
  <si>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</si>
  <si>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</si>
  <si>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</si>
  <si>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</si>
  <si>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</si>
  <si>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</si>
  <si>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</si>
  <si>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</si>
  <si>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</si>
  <si>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</si>
  <si>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</si>
  <si>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</si>
  <si>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</si>
  <si>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</si>
  <si>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</si>
  <si>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</si>
  <si>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</si>
  <si>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</si>
  <si>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</si>
  <si>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</si>
  <si>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</si>
  <si>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</si>
  <si>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</si>
  <si>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</si>
  <si>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</si>
  <si>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</si>
  <si>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</si>
  <si>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</si>
  <si>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</si>
  <si>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</si>
  <si>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</si>
  <si>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</si>
  <si>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</si>
  <si>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</si>
  <si>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</si>
  <si>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</si>
  <si>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</si>
  <si>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</si>
  <si>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</si>
  <si>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</si>
  <si>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</si>
  <si>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</si>
  <si>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</si>
  <si>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</si>
  <si>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</si>
  <si>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</si>
  <si>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</si>
  <si>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</si>
  <si>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</si>
  <si>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</si>
  <si>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</si>
  <si>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</si>
  <si>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</si>
  <si>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</si>
  <si>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</si>
  <si>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</si>
  <si>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</si>
  <si>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</si>
  <si>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</si>
  <si>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</si>
  <si>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</si>
  <si>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</si>
  <si>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</si>
  <si>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</si>
  <si>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</si>
  <si>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</si>
  <si>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</si>
  <si>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</si>
  <si>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</si>
  <si>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</si>
  <si>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</si>
  <si>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</si>
  <si>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</si>
  <si>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</si>
  <si>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</si>
  <si>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</si>
  <si>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</si>
  <si>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</si>
  <si>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</si>
  <si>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</si>
  <si>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</si>
  <si>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</si>
  <si>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</si>
  <si>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</si>
  <si>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</si>
  <si>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</si>
  <si>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</si>
  <si>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</si>
  <si>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</si>
  <si>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</si>
  <si>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</si>
  <si>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</si>
  <si>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</si>
  <si>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</si>
  <si>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</si>
  <si>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</si>
  <si>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</si>
  <si>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</si>
  <si>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</si>
  <si>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</si>
  <si>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</si>
  <si>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</si>
  <si>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</si>
  <si>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</si>
  <si>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</si>
  <si>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</si>
  <si>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</si>
  <si>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</si>
  <si>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</si>
  <si>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</si>
  <si>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</si>
  <si>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</si>
  <si>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</si>
  <si>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</si>
  <si>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</si>
  <si>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</si>
  <si>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</si>
  <si>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</si>
  <si>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</si>
  <si>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</si>
  <si>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</si>
  <si>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</si>
  <si>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</si>
  <si>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</si>
  <si>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</si>
  <si>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</si>
  <si>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</si>
  <si>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</si>
  <si>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</si>
  <si>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</si>
  <si>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</si>
  <si>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</si>
  <si>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</si>
  <si>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</si>
  <si>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</si>
  <si>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</si>
  <si>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</si>
  <si>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</si>
  <si>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</si>
  <si>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</si>
  <si>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</si>
  <si>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</si>
  <si>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</si>
  <si>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</si>
  <si>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</si>
  <si>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</si>
  <si>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</si>
  <si>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</si>
  <si>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</si>
  <si>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</si>
  <si>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</si>
  <si>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</si>
  <si>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</si>
  <si>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</si>
  <si>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</si>
  <si>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</si>
  <si>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</si>
  <si>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</si>
  <si>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</si>
  <si>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</si>
  <si>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</si>
  <si>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</si>
  <si>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</si>
  <si>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</si>
  <si>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</si>
  <si>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</si>
  <si>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</si>
  <si>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</si>
  <si>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</si>
  <si>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</si>
  <si>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</si>
  <si>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</si>
  <si>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</si>
  <si>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</si>
  <si>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</si>
  <si>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</si>
  <si>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</si>
  <si>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</si>
  <si>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</si>
  <si>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</si>
  <si>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</si>
  <si>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</si>
  <si>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</si>
  <si>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</si>
  <si>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</si>
  <si>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</si>
  <si>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</si>
  <si>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</si>
  <si>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</si>
  <si>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</si>
  <si>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</si>
  <si>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</si>
  <si>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</si>
  <si>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</si>
  <si>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</si>
  <si>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</si>
  <si>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</si>
  <si>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</si>
  <si>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</si>
  <si>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</si>
  <si>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</si>
  <si>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</si>
  <si>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</si>
  <si>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</si>
  <si>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</si>
  <si>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</si>
  <si>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</si>
  <si>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</si>
  <si>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</si>
  <si>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</si>
  <si>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</si>
  <si>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</si>
  <si>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</si>
  <si>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</si>
  <si>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</si>
  <si>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</si>
  <si>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</si>
  <si>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</si>
  <si>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</si>
  <si>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</si>
  <si>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</si>
  <si>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</si>
  <si>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</si>
  <si>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</si>
  <si>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</si>
  <si>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</si>
  <si>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</si>
  <si>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</si>
  <si>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</si>
  <si>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</si>
  <si>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</si>
  <si>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</si>
  <si>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</si>
  <si>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</si>
  <si>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</si>
  <si>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</si>
  <si>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</si>
  <si>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</si>
  <si>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</si>
  <si>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</si>
  <si>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</si>
  <si>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</si>
  <si>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</si>
  <si>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</si>
  <si>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</si>
  <si>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</si>
  <si>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</si>
  <si>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</si>
  <si>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</si>
  <si>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</si>
  <si>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</si>
  <si>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</si>
  <si>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</si>
  <si>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</si>
  <si>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</si>
  <si>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</si>
  <si>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</si>
  <si>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</si>
  <si>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</si>
  <si>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</si>
  <si>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</si>
  <si>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</si>
  <si>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</si>
  <si>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</si>
  <si>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</si>
  <si>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</si>
  <si>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</si>
  <si>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</si>
  <si>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</si>
  <si>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</si>
  <si>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</si>
  <si>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</si>
  <si>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</si>
  <si>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</si>
  <si>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</si>
  <si>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</si>
  <si>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</si>
  <si>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</si>
  <si>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</si>
  <si>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</si>
  <si>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</si>
  <si>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</si>
  <si>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</si>
  <si>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</si>
  <si>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</si>
  <si>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</si>
  <si>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</si>
  <si>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</si>
  <si>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</si>
  <si>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</si>
  <si>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</si>
  <si>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</si>
  <si>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</si>
  <si>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</si>
  <si>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</si>
  <si>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</si>
  <si>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</si>
  <si>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</si>
  <si>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</si>
  <si>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</si>
  <si>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</si>
  <si>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</si>
  <si>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</si>
  <si>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</si>
  <si>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</si>
  <si>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</si>
  <si>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</si>
  <si>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</si>
  <si>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</si>
  <si>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</si>
  <si>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</si>
  <si>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</si>
  <si>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</si>
  <si>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</si>
  <si>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</si>
  <si>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</si>
  <si>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</si>
  <si>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</si>
  <si>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</si>
  <si>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</si>
  <si>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</si>
  <si>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</si>
  <si>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</si>
  <si>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</si>
  <si>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</si>
  <si>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</si>
  <si>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</si>
  <si>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</si>
  <si>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</si>
  <si>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</si>
  <si>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</si>
  <si>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</si>
  <si>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</si>
  <si>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</si>
  <si>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</si>
  <si>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</si>
  <si>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</si>
  <si>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</si>
  <si>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</si>
  <si>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</si>
  <si>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</si>
  <si>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</si>
  <si>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</si>
  <si>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</si>
  <si>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</si>
  <si>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</si>
  <si>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</si>
  <si>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</si>
  <si>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</si>
  <si>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</si>
  <si>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</si>
  <si>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</si>
  <si>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</si>
  <si>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</si>
  <si>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</si>
  <si>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</si>
  <si>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</si>
  <si>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</si>
  <si>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</si>
  <si>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</si>
  <si>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</si>
  <si>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</si>
  <si>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</si>
  <si>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</si>
  <si>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</si>
  <si>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</si>
  <si>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</si>
  <si>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</si>
  <si>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</si>
  <si>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</si>
  <si>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</si>
  <si>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</si>
  <si>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</si>
  <si>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</si>
  <si>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</si>
  <si>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</si>
  <si>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</si>
  <si>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</si>
  <si>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</si>
  <si>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</si>
  <si>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</si>
  <si>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</si>
  <si>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</si>
  <si>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</si>
  <si>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</si>
  <si>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</si>
  <si>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</si>
  <si>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</si>
  <si>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</si>
  <si>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</si>
  <si>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</si>
  <si>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</si>
  <si>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</si>
  <si>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</si>
  <si>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</si>
  <si>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</si>
  <si>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</si>
  <si>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</si>
  <si>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</si>
  <si>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</si>
  <si>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</si>
  <si>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</si>
  <si>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</si>
  <si>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</si>
  <si>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</si>
  <si>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</si>
  <si>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</si>
  <si>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</si>
  <si>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</si>
  <si>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</si>
  <si>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</si>
  <si>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</si>
  <si>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</si>
  <si>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</si>
  <si>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</si>
  <si>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</si>
  <si>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</si>
  <si>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</si>
  <si>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</si>
  <si>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</si>
  <si>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</si>
  <si>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</si>
  <si>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</si>
  <si>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</si>
  <si>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</si>
  <si>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</si>
  <si>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</si>
  <si>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</si>
  <si>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</si>
  <si>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</si>
  <si>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</si>
  <si>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</si>
  <si>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</si>
  <si>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</si>
  <si>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</si>
  <si>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</si>
  <si>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</si>
  <si>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</si>
  <si>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</si>
  <si>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</si>
  <si>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</si>
  <si>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</si>
  <si>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</si>
  <si>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</si>
  <si>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</si>
  <si>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</si>
  <si>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</si>
  <si>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</si>
  <si>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</si>
  <si>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</si>
  <si>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</si>
  <si>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</si>
  <si>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</si>
  <si>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</si>
  <si>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</si>
  <si>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</si>
  <si>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</si>
  <si>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</si>
  <si>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</si>
  <si>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</si>
  <si>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</si>
  <si>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</si>
  <si>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</si>
  <si>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</si>
  <si>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</si>
  <si>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</si>
  <si>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</si>
  <si>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</si>
  <si>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</si>
  <si>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</si>
  <si>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</si>
  <si>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</si>
  <si>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</si>
  <si>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</si>
  <si>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</si>
  <si>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</si>
  <si>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</si>
  <si>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</si>
  <si>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</si>
  <si>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</si>
  <si>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</si>
  <si>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</si>
  <si>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</si>
  <si>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</si>
  <si>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</si>
  <si>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</si>
  <si>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</si>
  <si>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</si>
  <si>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</si>
  <si>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</si>
  <si>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</si>
  <si>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</si>
  <si>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</si>
  <si>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</si>
  <si>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</si>
  <si>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</si>
  <si>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</si>
  <si>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</si>
  <si>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</si>
  <si>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</si>
  <si>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</si>
  <si>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</si>
  <si>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</si>
  <si>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</si>
  <si>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</si>
  <si>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</si>
  <si>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</si>
  <si>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</si>
  <si>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</si>
  <si>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</si>
  <si>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</si>
  <si>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</si>
  <si>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</si>
  <si>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</si>
  <si>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</si>
  <si>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</si>
  <si>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</si>
  <si>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</si>
  <si>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</si>
  <si>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</si>
  <si>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</si>
  <si>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</si>
  <si>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</si>
  <si>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</si>
  <si>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</si>
  <si>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</si>
  <si>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</si>
  <si>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</si>
  <si>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</si>
  <si>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</si>
  <si>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</si>
  <si>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</si>
  <si>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</si>
  <si>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</si>
  <si>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</si>
  <si>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</si>
  <si>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</si>
  <si>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</si>
  <si>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</si>
  <si>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</si>
  <si>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</si>
  <si>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</si>
  <si>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</si>
  <si>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</si>
  <si>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</si>
  <si>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</si>
  <si>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</si>
  <si>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</si>
  <si>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</si>
  <si>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</si>
  <si>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</si>
  <si>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</si>
  <si>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</si>
  <si>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</si>
  <si>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</si>
  <si>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</si>
  <si>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</si>
  <si>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</si>
  <si>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</si>
  <si>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</si>
  <si>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</si>
  <si>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</si>
  <si>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</si>
  <si>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</si>
  <si>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</si>
  <si>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</si>
  <si>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</si>
  <si>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</si>
  <si>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</si>
  <si>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</si>
  <si>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</si>
  <si>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</si>
  <si>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</si>
  <si>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</si>
  <si>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</si>
  <si>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</si>
  <si>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</si>
  <si>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</si>
  <si>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</si>
  <si>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</si>
  <si>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</si>
  <si>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</si>
  <si>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</si>
  <si>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</si>
  <si>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</si>
  <si>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</si>
  <si>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</si>
  <si>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</si>
  <si>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</si>
  <si>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</si>
  <si>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</si>
  <si>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</si>
  <si>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</si>
  <si>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</si>
  <si>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</si>
  <si>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</si>
  <si>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</si>
  <si>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</si>
  <si>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</si>
  <si>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</si>
  <si>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</si>
  <si>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</si>
  <si>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</si>
  <si>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</si>
  <si>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</si>
  <si>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</si>
  <si>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</si>
  <si>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</si>
  <si>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</si>
  <si>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</si>
  <si>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</si>
  <si>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</si>
  <si>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</si>
  <si>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</si>
  <si>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</si>
  <si>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</si>
  <si>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</si>
  <si>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</si>
  <si>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</si>
  <si>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</si>
  <si>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</si>
  <si>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</si>
  <si>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</si>
  <si>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</si>
  <si>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</si>
  <si>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</si>
  <si>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</si>
  <si>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</si>
  <si>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</si>
  <si>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</si>
  <si>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</si>
  <si>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</si>
  <si>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</si>
  <si>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</si>
  <si>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</si>
  <si>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</si>
  <si>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rgb="FF000000"/>
        <rFont val="Calibri"/>
      </rPr>
      <t xml:space="preserve">It will be the tool which can be easily used by any professional who understand the basic accounting. The business plan financial calculator will generate following statements automatically based on certain data inputs:
</t>
    </r>
    <r>
      <rPr>
        <sz val="11"/>
        <color rgb="FF000000"/>
        <rFont val="Calibri"/>
      </rPr>
      <t>1. Profit and Loss Statement
2. Cash Flow Statement
3. Balance Sheet
4</t>
    </r>
    <r>
      <rPr>
        <sz val="11"/>
        <color rgb="FFC00000"/>
        <rFont val="Calibri"/>
      </rPr>
      <t xml:space="preserve">. </t>
    </r>
    <r>
      <rPr>
        <sz val="11"/>
        <rFont val="Calibri"/>
      </rPr>
      <t xml:space="preserve">Depreciation, amortization and tax calculation </t>
    </r>
    <r>
      <rPr>
        <sz val="11"/>
        <color rgb="FF000000"/>
        <rFont val="Calibri"/>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rgb="FF000000"/>
        <rFont val="Calibri"/>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</si>
  <si>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</si>
  <si>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</si>
  <si>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</si>
  <si>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</si>
  <si>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</si>
  <si>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</si>
  <si>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</si>
  <si>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</si>
  <si>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</si>
  <si>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</si>
  <si>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</si>
  <si>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</si>
  <si>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</si>
  <si>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</si>
  <si>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</si>
  <si>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</si>
  <si>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</si>
  <si>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</si>
  <si>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</si>
  <si>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</si>
  <si>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</si>
  <si>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</si>
  <si>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</si>
  <si>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</si>
  <si>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</si>
  <si>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</si>
  <si>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</si>
  <si>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</si>
  <si>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</si>
  <si>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</si>
  <si>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</si>
  <si>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</si>
  <si>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</si>
  <si>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</si>
  <si>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</si>
  <si>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</si>
  <si>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</si>
  <si>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rPr>
      <t xml:space="preserve">. </t>
    </r>
  </si>
  <si>
    <t>Sheet No. 3 (Ref. 3.2 &amp; 3.3)</t>
  </si>
  <si>
    <t>Sheet no.3 (Ref. 3.1 table only)</t>
  </si>
  <si>
    <t>4TPH</t>
  </si>
  <si>
    <t>4000 P/D</t>
  </si>
  <si>
    <t>63 KVA Transfarmer</t>
  </si>
  <si>
    <t>63 KVA</t>
  </si>
  <si>
    <t>Genrator</t>
  </si>
  <si>
    <t>82.5 KVA</t>
  </si>
  <si>
    <t>Computer</t>
  </si>
  <si>
    <t>Laptop</t>
  </si>
  <si>
    <t>Tally</t>
  </si>
  <si>
    <t>Printer</t>
  </si>
  <si>
    <t>CCtv Set</t>
  </si>
  <si>
    <t>Priliminary Expenses</t>
  </si>
  <si>
    <t xml:space="preserve"> Videojet Printer with conver belt (for bags &amp; Tag Printing Use)</t>
  </si>
  <si>
    <t>Assistant</t>
  </si>
  <si>
    <t>Godown and machine insurance</t>
  </si>
  <si>
    <t>Managerial remunaration</t>
  </si>
  <si>
    <t>Repair and maintainance</t>
  </si>
  <si>
    <t>Intwerest on TL+STL</t>
  </si>
  <si>
    <t>Construction of Godown 1500 M.T.</t>
  </si>
  <si>
    <t xml:space="preserve">Seed Processing Shed Unit </t>
  </si>
  <si>
    <t>9000 Sq  ft</t>
  </si>
  <si>
    <t>3000 Sq ft</t>
  </si>
  <si>
    <t xml:space="preserve">Seed Processing Machine </t>
  </si>
</sst>
</file>

<file path=xl/styles.xml><?xml version="1.0" encoding="utf-8"?>
<styleSheet xmlns="http://schemas.openxmlformats.org/spreadsheetml/2006/main">
  <numFmts count="23">
    <numFmt numFmtId="0" formatCode="General"/>
    <numFmt numFmtId="169" formatCode="_(* #,##0_);_(* \(#,##0\);_(* &quot;-&quot;??_);_(@_)"/>
    <numFmt numFmtId="9" formatCode="0%"/>
    <numFmt numFmtId="167" formatCode="_-* #,##0_-;\-* #,##0_-;_-* &quot;-&quot;??_-;_-@_-"/>
    <numFmt numFmtId="164" formatCode="_(* #,##0.00_);_(* \(#,##0.00\);_(* &quot;-&quot;??_);_(@_)"/>
    <numFmt numFmtId="10" formatCode="0.00%"/>
    <numFmt numFmtId="3" formatCode="#,##0"/>
    <numFmt numFmtId="2" formatCode="0.00"/>
    <numFmt numFmtId="43" formatCode="_-* #,##0.00_-;\-* #,##0.00_-;_-* &quot;-&quot;??_-;_-@_-"/>
    <numFmt numFmtId="38" formatCode="#,##0;[Red]\-#,##0"/>
    <numFmt numFmtId="173" formatCode="#,##0_ ;[Red]\-#,##0\ "/>
    <numFmt numFmtId="174" formatCode="#,##0.00_ ;[Red]\-#,##0.00\ "/>
    <numFmt numFmtId="166" formatCode="&quot;Rs.&quot;\ #,##0.00;[Red]&quot;Rs.&quot;\ \-#,##0.00"/>
    <numFmt numFmtId="177" formatCode="0.0"/>
    <numFmt numFmtId="165" formatCode="_ * #,##0.00_ ;_ * \-#,##0.00_ ;_ * &quot;-&quot;??_ ;_ @_ "/>
    <numFmt numFmtId="37" formatCode="#,##0;\-#,##0"/>
    <numFmt numFmtId="4" formatCode="#,##0.00"/>
    <numFmt numFmtId="175" formatCode="_(* #,##0.0000_);_(* \(#,##0.0000\);_(* &quot;-&quot;??_);_(@_)"/>
    <numFmt numFmtId="171" formatCode="_ * #,##0_ ;_ * \-#,##0_ ;_ * &quot;-&quot;??_ ;_ @_ "/>
    <numFmt numFmtId="176" formatCode="_ * #,##0.0_ ;_ * \-#,##0.0_ ;_ * &quot;-&quot;??_ ;_ @_ "/>
    <numFmt numFmtId="1" formatCode="0"/>
    <numFmt numFmtId="170" formatCode="0.0%"/>
    <numFmt numFmtId="172" formatCode="_-&quot;£&quot;* #,##0.00_-;\-&quot;£&quot;* #,##0.00_-;_-&quot;£&quot;* &quot;-&quot;??_-;_-@_-"/>
  </numFmts>
  <fonts count="67">
    <font>
      <name val="Calibri"/>
      <sz val="11"/>
    </font>
    <font>
      <name val="Calibri"/>
      <sz val="11"/>
      <color rgb="FF000000"/>
    </font>
    <font>
      <name val="Calibri"/>
      <b/>
      <sz val="24"/>
      <color rgb="FF000000"/>
    </font>
    <font>
      <name val="Calibri"/>
      <b/>
      <u/>
      <sz val="18"/>
      <color rgb="FF000000"/>
    </font>
    <font>
      <name val="Calibri"/>
      <b/>
      <sz val="18"/>
      <color rgb="FF000000"/>
    </font>
    <font>
      <name val="Calibri"/>
      <b/>
      <sz val="11"/>
      <color rgb="FF000000"/>
    </font>
    <font>
      <name val="Calibri"/>
      <b/>
      <sz val="11"/>
      <color rgb="FFC00000"/>
    </font>
    <font>
      <name val="Calibri"/>
      <b/>
      <sz val="16"/>
      <color rgb="FF000000"/>
    </font>
    <font>
      <name val="Times New Roman"/>
      <b/>
      <sz val="14"/>
      <color rgb="FF000000"/>
    </font>
    <font>
      <name val="Times New Roman"/>
      <b/>
      <sz val="10"/>
      <color rgb="FFFFFFFF"/>
    </font>
    <font>
      <name val="Times New Roman"/>
      <sz val="10"/>
      <color rgb="FF000000"/>
    </font>
    <font>
      <name val="Calibri"/>
      <sz val="10"/>
      <color rgb="FF000000"/>
    </font>
    <font>
      <name val="Times New Roman"/>
      <b/>
      <sz val="10"/>
      <color rgb="FF000000"/>
    </font>
    <font>
      <name val="Inherit"/>
      <b/>
      <sz val="8"/>
    </font>
    <font>
      <name val="Garamond"/>
      <sz val="11"/>
      <color rgb="FF000000"/>
    </font>
    <font>
      <name val="Times New Roman"/>
      <b/>
      <sz val="11"/>
      <color rgb="FFFFFFFF"/>
    </font>
    <font>
      <name val="Times New Roman"/>
      <sz val="11"/>
    </font>
    <font>
      <name val="Times New Roman"/>
      <sz val="11"/>
      <color rgb="FF000000"/>
    </font>
    <font>
      <name val="Times New Roman"/>
      <b/>
      <sz val="11"/>
      <color rgb="FF000000"/>
    </font>
    <font>
      <name val="Times New Roman"/>
      <sz val="11"/>
      <color rgb="FF000000"/>
    </font>
    <font>
      <name val="Times New Roman"/>
      <b/>
      <sz val="11"/>
      <color rgb="FF000000"/>
    </font>
    <font>
      <name val="Garamond"/>
      <b/>
      <sz val="11"/>
      <color rgb="FFFFFFFF"/>
    </font>
    <font>
      <name val="Garamond"/>
      <b/>
      <sz val="11"/>
      <color rgb="FF000000"/>
    </font>
    <font>
      <name val="Garamond"/>
      <b/>
      <sz val="11"/>
      <color rgb="FF202124"/>
    </font>
    <font>
      <name val="Times New Roman"/>
      <b/>
      <sz val="11"/>
      <color rgb="FFFFFFFF"/>
    </font>
    <font>
      <name val="Calibri"/>
      <b/>
      <sz val="11"/>
    </font>
    <font>
      <name val="Times New Roman"/>
      <b/>
      <sz val="14"/>
    </font>
    <font>
      <name val="Times New Roman"/>
      <b/>
      <sz val="11"/>
      <color indexed="8"/>
    </font>
    <font>
      <name val="Times New Roman"/>
      <b/>
      <u/>
      <sz val="11"/>
      <color indexed="8"/>
    </font>
    <font>
      <name val="Times New Roman"/>
      <b/>
      <i/>
      <sz val="11"/>
      <color indexed="8"/>
    </font>
    <font>
      <name val="Times New Roman"/>
      <b/>
      <sz val="11"/>
    </font>
    <font>
      <name val="Times New Roman"/>
      <sz val="11"/>
      <color indexed="8"/>
    </font>
    <font>
      <name val="Calibri"/>
      <sz val="11"/>
    </font>
    <font>
      <name val="Calibri"/>
      <b/>
      <u/>
      <sz val="11"/>
      <color indexed="12"/>
    </font>
    <font>
      <name val="Times New Roman"/>
      <sz val="11"/>
      <color rgb="FFFFFFFF"/>
    </font>
    <font>
      <name val="Calibri"/>
      <b/>
      <sz val="11"/>
    </font>
    <font>
      <name val="Calibri"/>
      <sz val="11"/>
      <color indexed="8"/>
    </font>
    <font>
      <name val="Arial"/>
      <b/>
      <sz val="8"/>
      <color rgb="FF202124"/>
    </font>
    <font>
      <name val="Arial"/>
      <b/>
      <sz val="9"/>
    </font>
    <font>
      <name val="Arial"/>
      <sz val="9"/>
    </font>
    <font>
      <name val="Garamond"/>
      <b/>
      <sz val="11"/>
      <color rgb="FF272727"/>
    </font>
    <font>
      <name val="Georgia"/>
      <sz val="10"/>
      <color rgb="FF424142"/>
    </font>
    <font>
      <name val="Calibri"/>
      <i/>
      <sz val="11"/>
      <color indexed="10"/>
    </font>
    <font>
      <name val="Times New Roman"/>
      <b/>
      <sz val="11"/>
      <color indexed="56"/>
    </font>
    <font>
      <name val="Times New Roman"/>
      <b/>
      <u/>
      <sz val="11"/>
    </font>
    <font>
      <name val="Times New Roman"/>
      <sz val="11"/>
      <color indexed="17"/>
    </font>
    <font>
      <name val="Times New Roman"/>
      <b/>
      <u/>
      <sz val="11"/>
      <color indexed="60"/>
    </font>
    <font>
      <name val="Times New Roman"/>
      <sz val="11"/>
      <color indexed="60"/>
    </font>
    <font>
      <name val="Times New Roman"/>
      <b/>
      <sz val="11"/>
      <color indexed="60"/>
    </font>
    <font>
      <name val="Garamond"/>
      <b/>
      <sz val="11"/>
      <color rgb="FF222222"/>
    </font>
    <font>
      <name val="Roboto"/>
      <sz val="8"/>
      <color rgb="FF222222"/>
    </font>
    <font>
      <name val="Times New Roman"/>
      <b/>
      <sz val="14"/>
      <color indexed="8"/>
    </font>
    <font>
      <name val="Times New Roman"/>
      <sz val="13"/>
      <color indexed="8"/>
    </font>
    <font>
      <name val="Times New Roman"/>
      <sz val="12"/>
      <color rgb="FFFFFFFF"/>
    </font>
    <font>
      <name val="Times New Roman"/>
      <sz val="12"/>
      <color rgb="FFFF0000"/>
    </font>
    <font>
      <name val="Times New Roman"/>
      <sz val="13"/>
    </font>
    <font>
      <name val="Garamond"/>
      <b/>
      <sz val="11"/>
    </font>
    <font>
      <name val="Garamond"/>
      <b/>
      <sz val="11"/>
      <color rgb="FF202122"/>
    </font>
    <font>
      <name val="Times New Roman"/>
      <b/>
      <sz val="12"/>
      <color rgb="FFFFFFFF"/>
    </font>
    <font>
      <name val="Times New Roman"/>
      <sz val="12"/>
      <color indexed="8"/>
    </font>
    <font>
      <name val="Times New Roman"/>
      <sz val="12"/>
    </font>
    <font>
      <name val="Garamond"/>
      <b/>
      <sz val="11"/>
      <color rgb="FF111111"/>
    </font>
    <font>
      <name val="Calibri"/>
      <b/>
      <sz val="11"/>
      <color rgb="FFFFFFFF"/>
    </font>
    <font>
      <name val="Calibri"/>
      <sz val="11"/>
      <color rgb="FFFFFFFF"/>
    </font>
    <font>
      <name val="Calibri"/>
      <sz val="11"/>
      <color rgb="FF000000"/>
    </font>
    <font>
      <name val="Arial"/>
      <sz val="10"/>
    </font>
    <font>
      <name val="Arial"/>
      <u/>
      <sz val="10"/>
      <color indexed="12"/>
    </font>
  </fonts>
  <fills count="12">
    <fill>
      <patternFill patternType="none"/>
    </fill>
    <fill>
      <patternFill patternType="gray125"/>
    </fill>
    <fill>
      <patternFill patternType="solid">
        <fgColor rgb="FFFABF8F"/>
        <bgColor indexed="64"/>
      </patternFill>
    </fill>
    <fill>
      <patternFill patternType="solid">
        <fgColor rgb="FFB7DDE8"/>
        <bgColor indexed="64"/>
      </patternFill>
    </fill>
    <fill>
      <patternFill patternType="solid">
        <fgColor rgb="FFD6E3BC"/>
        <bgColor indexed="64"/>
      </patternFill>
    </fill>
    <fill>
      <patternFill patternType="solid">
        <fgColor rgb="FFFFFF00"/>
        <bgColor indexed="64"/>
      </patternFill>
    </fill>
    <fill>
      <patternFill patternType="solid">
        <fgColor rgb="FF92D050"/>
        <bgColor indexed="64"/>
      </patternFill>
    </fill>
    <fill>
      <patternFill patternType="solid">
        <fgColor rgb="FFF2DCDB"/>
        <bgColor indexed="64"/>
      </patternFill>
    </fill>
    <fill>
      <patternFill patternType="solid">
        <fgColor rgb="FF4A4529"/>
        <bgColor indexed="64"/>
      </patternFill>
    </fill>
    <fill>
      <patternFill patternType="solid">
        <fgColor rgb="FF333300"/>
        <bgColor indexed="64"/>
      </patternFill>
    </fill>
    <fill>
      <patternFill patternType="solid">
        <fgColor indexed="15"/>
        <bgColor indexed="64"/>
      </patternFill>
    </fill>
    <fill>
      <patternFill patternType="solid">
        <fgColor rgb="FFFFFFFF"/>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8">
    <xf numFmtId="0" fontId="0" fillId="0" borderId="0">
      <alignment vertical="center"/>
    </xf>
    <xf numFmtId="164" fontId="64" fillId="0" borderId="0">
      <alignment vertical="top"/>
      <protection locked="0" hidden="0"/>
    </xf>
    <xf numFmtId="43" fontId="64" fillId="0" borderId="0">
      <alignment vertical="top"/>
      <protection locked="0" hidden="0"/>
    </xf>
    <xf numFmtId="9" fontId="64" fillId="0" borderId="0">
      <alignment vertical="top"/>
      <protection locked="0" hidden="0"/>
    </xf>
    <xf numFmtId="0" fontId="65" fillId="0" borderId="0">
      <alignment vertical="bottom"/>
      <protection locked="0" hidden="0"/>
    </xf>
    <xf numFmtId="0" fontId="66" fillId="0" borderId="0">
      <alignment vertical="top"/>
      <protection locked="0" hidden="0"/>
    </xf>
    <xf numFmtId="172" fontId="64" fillId="0" borderId="0">
      <alignment vertical="top"/>
      <protection locked="0" hidden="0"/>
    </xf>
    <xf numFmtId="165" fontId="36" fillId="0" borderId="0">
      <alignment vertical="top"/>
      <protection locked="0" hidden="0"/>
    </xf>
  </cellStyleXfs>
  <cellXfs count="483">
    <xf numFmtId="0" fontId="0" fillId="0" borderId="0" xfId="0">
      <alignment vertical="center"/>
    </xf>
    <xf numFmtId="0" fontId="1" fillId="0" borderId="0" xfId="0" applyAlignment="1">
      <alignment vertical="center" wrapText="1"/>
    </xf>
    <xf numFmtId="0" fontId="2"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1" fillId="0" borderId="2" xfId="0" applyBorder="1" applyAlignment="1">
      <alignment horizontal="left" vertical="center" wrapText="1"/>
    </xf>
    <xf numFmtId="0" fontId="1" fillId="0" borderId="3" xfId="0" applyBorder="1" applyAlignment="1">
      <alignment horizontal="left" vertical="center" wrapText="1"/>
    </xf>
    <xf numFmtId="0" fontId="1" fillId="0" borderId="4" xfId="0" applyBorder="1" applyAlignment="1">
      <alignment horizontal="left" vertical="center" wrapText="1"/>
    </xf>
    <xf numFmtId="0" fontId="1" fillId="0" borderId="5" xfId="0" applyBorder="1" applyAlignment="1">
      <alignment horizontal="left" vertical="center" wrapText="1"/>
    </xf>
    <xf numFmtId="0" fontId="4" fillId="4" borderId="2" xfId="0" applyFont="1" applyFill="1" applyBorder="1" applyAlignment="1">
      <alignment horizontal="left" vertical="center" wrapText="1"/>
    </xf>
    <xf numFmtId="0" fontId="1" fillId="5" borderId="5" xfId="0" applyFill="1" applyBorder="1" applyAlignment="1">
      <alignmen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1" fillId="6" borderId="5" xfId="0" applyFill="1" applyBorder="1" applyAlignment="1">
      <alignment vertical="center" wrapText="1"/>
    </xf>
    <xf numFmtId="0" fontId="5" fillId="0" borderId="2" xfId="0" applyFont="1" applyBorder="1" applyAlignment="1">
      <alignment horizontal="left" vertical="center" wrapText="1"/>
    </xf>
    <xf numFmtId="0" fontId="1" fillId="0" borderId="0" xfId="0" applyFill="1" applyAlignment="1">
      <alignment vertical="center" wrapText="1"/>
    </xf>
    <xf numFmtId="0" fontId="1" fillId="0" borderId="4" xfId="0" applyFill="1" applyBorder="1" applyAlignment="1">
      <alignment horizontal="center" vertical="center" wrapText="1"/>
    </xf>
    <xf numFmtId="0" fontId="1" fillId="0" borderId="5" xfId="0" applyFill="1" applyBorder="1" applyAlignment="1">
      <alignment horizontal="center" vertical="center" wrapText="1"/>
    </xf>
    <xf numFmtId="0" fontId="5" fillId="0" borderId="2" xfId="0" applyFont="1" applyBorder="1" applyAlignment="1">
      <alignment vertical="center" wrapText="1"/>
    </xf>
    <xf numFmtId="0" fontId="5" fillId="7" borderId="2" xfId="0" applyFont="1" applyFill="1" applyBorder="1" applyAlignment="1">
      <alignment vertical="center" wrapText="1"/>
    </xf>
    <xf numFmtId="0" fontId="6" fillId="0" borderId="2" xfId="0" applyFont="1" applyBorder="1" applyAlignment="1">
      <alignment vertical="center" wrapText="1"/>
    </xf>
    <xf numFmtId="0" fontId="1" fillId="0" borderId="2" xfId="0" applyBorder="1" applyAlignment="1">
      <alignment vertical="center" wrapText="1"/>
    </xf>
    <xf numFmtId="0" fontId="1" fillId="0" borderId="6" xfId="0" applyFill="1" applyBorder="1" applyAlignment="1">
      <alignment vertical="center" wrapText="1"/>
    </xf>
    <xf numFmtId="0" fontId="1" fillId="0" borderId="7" xfId="0" applyBorder="1" applyAlignment="1">
      <alignment horizontal="left" vertical="center" wrapText="1"/>
    </xf>
    <xf numFmtId="0" fontId="1" fillId="0" borderId="6" xfId="0" applyBorder="1" applyAlignment="1">
      <alignment horizontal="left" vertical="center" wrapText="1"/>
    </xf>
    <xf numFmtId="0" fontId="1" fillId="0" borderId="8" xfId="0" applyBorder="1" applyAlignment="1">
      <alignment horizontal="left" vertical="center" wrapText="1"/>
    </xf>
    <xf numFmtId="0" fontId="5" fillId="7" borderId="6" xfId="0" applyFont="1" applyFill="1" applyBorder="1" applyAlignment="1">
      <alignment vertical="center" wrapText="1"/>
    </xf>
    <xf numFmtId="0" fontId="1" fillId="0" borderId="2" xfId="0" applyBorder="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bottom"/>
    </xf>
    <xf numFmtId="0" fontId="9" fillId="8" borderId="2"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10" fillId="0" borderId="2" xfId="0" applyFont="1" applyBorder="1" applyAlignment="1">
      <alignment horizontal="right" vertical="center" wrapText="1"/>
    </xf>
    <xf numFmtId="0" fontId="10" fillId="0" borderId="2" xfId="0" applyFont="1" applyBorder="1" applyAlignment="1">
      <alignment vertical="center" wrapText="1"/>
    </xf>
    <xf numFmtId="169" fontId="10" fillId="0" borderId="2" xfId="1" applyNumberFormat="1" applyFont="1" applyBorder="1" applyAlignment="1">
      <alignment vertical="center" wrapText="1"/>
    </xf>
    <xf numFmtId="9" fontId="11" fillId="6" borderId="2" xfId="0" applyNumberFormat="1" applyFont="1" applyFill="1" applyBorder="1" applyAlignment="1">
      <alignment vertical="bottom"/>
    </xf>
    <xf numFmtId="169" fontId="11" fillId="0" borderId="2" xfId="0" applyNumberFormat="1" applyFont="1" applyBorder="1" applyAlignment="1">
      <alignment vertical="bottom"/>
    </xf>
    <xf numFmtId="0" fontId="11" fillId="0" borderId="2" xfId="0" applyFont="1" applyBorder="1" applyAlignment="1">
      <alignment vertical="bottom"/>
    </xf>
    <xf numFmtId="0" fontId="12" fillId="0" borderId="2" xfId="0" applyFont="1" applyBorder="1" applyAlignment="1">
      <alignment horizontal="center" vertical="center" wrapText="1"/>
    </xf>
    <xf numFmtId="169" fontId="12" fillId="0" borderId="2" xfId="1" applyNumberFormat="1" applyFont="1" applyBorder="1" applyAlignment="1">
      <alignment horizontal="center" vertical="center" wrapText="1"/>
    </xf>
    <xf numFmtId="167" fontId="1" fillId="0" borderId="0" xfId="0" applyNumberFormat="1" applyAlignment="1">
      <alignment vertical="bottom"/>
    </xf>
    <xf numFmtId="0" fontId="13" fillId="0" borderId="0" xfId="0" applyFont="1" applyAlignment="1">
      <alignment horizontal="center" vertical="bottom" wrapText="1"/>
    </xf>
    <xf numFmtId="0" fontId="9" fillId="8" borderId="2" xfId="0" applyFont="1" applyFill="1" applyBorder="1" applyAlignment="1">
      <alignment vertical="center" wrapText="1"/>
    </xf>
    <xf numFmtId="9" fontId="10" fillId="0" borderId="2" xfId="2" applyNumberFormat="1" applyFont="1" applyFill="1" applyBorder="1" applyAlignment="1">
      <alignment horizontal="right" vertical="center" wrapText="1"/>
    </xf>
    <xf numFmtId="167" fontId="10" fillId="0" borderId="2" xfId="2" applyNumberFormat="1" applyFont="1" applyFill="1" applyBorder="1" applyAlignment="1">
      <alignment horizontal="right" vertical="center" wrapText="1"/>
    </xf>
    <xf numFmtId="164" fontId="1" fillId="0" borderId="0" xfId="0" applyNumberFormat="1" applyAlignment="1">
      <alignment vertical="bottom"/>
    </xf>
    <xf numFmtId="9" fontId="10" fillId="6" borderId="2" xfId="2" applyNumberFormat="1" applyFont="1" applyFill="1" applyBorder="1" applyAlignment="1">
      <alignment horizontal="right" vertical="center" wrapText="1"/>
    </xf>
    <xf numFmtId="167" fontId="12" fillId="0" borderId="2" xfId="2" applyNumberFormat="1" applyFont="1" applyBorder="1" applyAlignment="1">
      <alignment horizontal="right" vertical="center" wrapText="1"/>
    </xf>
    <xf numFmtId="0" fontId="5" fillId="0" borderId="0" xfId="0" applyFont="1" applyAlignment="1">
      <alignment horizontal="center" vertical="bottom"/>
    </xf>
    <xf numFmtId="0" fontId="8" fillId="0" borderId="0" xfId="0" applyFont="1" applyBorder="1" applyAlignment="1">
      <alignment horizontal="center" vertical="bottom"/>
    </xf>
    <xf numFmtId="0" fontId="9" fillId="9" borderId="2" xfId="0" applyFont="1" applyFill="1" applyBorder="1" applyAlignment="1">
      <alignment vertical="center" wrapText="1"/>
    </xf>
    <xf numFmtId="0" fontId="9" fillId="9" borderId="2" xfId="0" applyFont="1" applyFill="1" applyBorder="1">
      <alignment vertical="center"/>
    </xf>
    <xf numFmtId="0" fontId="9" fillId="9" borderId="2" xfId="0" applyFont="1" applyFill="1" applyBorder="1" applyAlignment="1">
      <alignment horizontal="center" vertical="center"/>
    </xf>
    <xf numFmtId="0" fontId="9" fillId="9" borderId="2" xfId="0" applyFont="1" applyFill="1" applyBorder="1" applyAlignment="1">
      <alignment horizontal="center" vertical="center" wrapText="1"/>
    </xf>
    <xf numFmtId="0" fontId="9" fillId="9" borderId="10"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10" fillId="0" borderId="2" xfId="0" applyFont="1" applyBorder="1" applyAlignment="1">
      <alignment horizontal="center" vertical="center" wrapText="1"/>
    </xf>
    <xf numFmtId="10" fontId="10" fillId="0" borderId="2" xfId="0" applyNumberFormat="1" applyFont="1" applyBorder="1" applyAlignment="1">
      <alignment horizontal="center" vertical="center" wrapText="1"/>
    </xf>
    <xf numFmtId="0" fontId="10" fillId="0" borderId="2" xfId="0" applyFont="1" applyFill="1" applyBorder="1" applyAlignment="1">
      <alignment horizontal="left" vertical="center" wrapText="1"/>
    </xf>
    <xf numFmtId="10" fontId="10" fillId="0" borderId="2" xfId="3" applyNumberFormat="1" applyFont="1" applyBorder="1" applyAlignment="1">
      <alignment horizontal="center" vertical="center" wrapText="1"/>
    </xf>
    <xf numFmtId="3" fontId="10" fillId="0" borderId="2" xfId="0" applyNumberFormat="1" applyFont="1" applyBorder="1" applyAlignment="1">
      <alignment horizontal="center" vertical="center" wrapText="1"/>
    </xf>
    <xf numFmtId="2" fontId="10" fillId="0" borderId="2" xfId="0" applyNumberFormat="1" applyFont="1" applyBorder="1" applyAlignment="1">
      <alignment horizontal="center" vertical="center" wrapText="1"/>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15" fillId="8" borderId="2" xfId="0" applyFont="1" applyFill="1" applyBorder="1" applyAlignment="1">
      <alignment horizontal="center" vertical="center" wrapText="1"/>
    </xf>
    <xf numFmtId="0" fontId="16" fillId="5" borderId="2" xfId="0" applyFont="1" applyFill="1" applyBorder="1" applyAlignment="1">
      <alignment vertical="center"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43" fontId="16" fillId="0" borderId="2" xfId="2" applyFont="1" applyFill="1" applyBorder="1" applyAlignment="1">
      <alignment horizontal="right" vertical="center" wrapText="1"/>
    </xf>
    <xf numFmtId="0" fontId="17" fillId="5" borderId="2" xfId="0" applyFont="1" applyFill="1" applyBorder="1" applyAlignment="1">
      <alignment vertical="center" wrapText="1"/>
    </xf>
    <xf numFmtId="169" fontId="16" fillId="5" borderId="2" xfId="1" applyNumberFormat="1" applyFont="1" applyFill="1" applyBorder="1" applyAlignment="1">
      <alignment horizontal="left" vertical="center" wrapText="1"/>
    </xf>
    <xf numFmtId="169" fontId="16" fillId="5" borderId="2" xfId="1" applyNumberFormat="1" applyFont="1" applyFill="1" applyBorder="1" applyAlignment="1">
      <alignment vertical="center" wrapText="1"/>
    </xf>
    <xf numFmtId="169" fontId="16" fillId="5" borderId="2" xfId="1" applyNumberFormat="1" applyFont="1" applyFill="1" applyBorder="1" applyAlignment="1">
      <alignment horizontal="right" vertical="center" wrapText="1"/>
    </xf>
    <xf numFmtId="0" fontId="18" fillId="0" borderId="2" xfId="0" applyFont="1" applyBorder="1" applyAlignment="1">
      <alignment horizontal="center" vertical="center" wrapText="1"/>
    </xf>
    <xf numFmtId="167" fontId="18" fillId="0" borderId="2" xfId="2" applyNumberFormat="1" applyFont="1" applyBorder="1" applyAlignment="1">
      <alignment horizontal="right" vertical="center" wrapText="1"/>
    </xf>
    <xf numFmtId="0" fontId="1" fillId="0" borderId="0" xfId="0" applyAlignment="1">
      <alignment horizontal="center" vertical="bottom"/>
    </xf>
    <xf numFmtId="0" fontId="15" fillId="8" borderId="2"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7" fillId="5" borderId="2" xfId="0" applyFont="1" applyFill="1" applyBorder="1" applyAlignment="1">
      <alignment vertical="bottom"/>
    </xf>
    <xf numFmtId="167" fontId="19" fillId="5" borderId="2" xfId="2" applyNumberFormat="1" applyFont="1" applyFill="1" applyBorder="1" applyAlignment="1">
      <alignment horizontal="right" vertical="center" wrapText="1"/>
    </xf>
    <xf numFmtId="0" fontId="20" fillId="5" borderId="2" xfId="0" applyFont="1" applyFill="1" applyBorder="1" applyAlignment="1">
      <alignment horizontal="center" vertical="center" wrapText="1"/>
    </xf>
    <xf numFmtId="0" fontId="20" fillId="5" borderId="2" xfId="0" applyFont="1" applyFill="1" applyBorder="1" applyAlignment="1">
      <alignment vertical="center" wrapText="1"/>
    </xf>
    <xf numFmtId="169" fontId="20" fillId="5" borderId="2" xfId="1" applyNumberFormat="1" applyFont="1" applyFill="1" applyBorder="1" applyAlignment="1">
      <alignment horizontal="right" vertical="center" wrapText="1"/>
    </xf>
    <xf numFmtId="0" fontId="18" fillId="5" borderId="2" xfId="0" applyFont="1" applyFill="1" applyBorder="1" applyAlignment="1">
      <alignment vertical="bottom"/>
    </xf>
    <xf numFmtId="0" fontId="20" fillId="5" borderId="2" xfId="0" applyFont="1" applyFill="1" applyBorder="1" applyAlignment="1">
      <alignment horizontal="center" vertical="center" wrapText="1"/>
    </xf>
    <xf numFmtId="167" fontId="20" fillId="5" borderId="2" xfId="2" applyNumberFormat="1" applyFont="1" applyFill="1" applyBorder="1" applyAlignment="1">
      <alignment horizontal="right" vertical="center" wrapText="1"/>
    </xf>
    <xf numFmtId="0" fontId="19" fillId="5" borderId="2" xfId="0" applyFont="1" applyFill="1" applyBorder="1" applyAlignment="1">
      <alignment vertical="center" wrapText="1"/>
    </xf>
    <xf numFmtId="0" fontId="20" fillId="5" borderId="2" xfId="0" applyFont="1" applyFill="1" applyBorder="1" applyAlignment="1">
      <alignment horizontal="center" vertical="center" wrapText="1"/>
    </xf>
    <xf numFmtId="0" fontId="20" fillId="0" borderId="2" xfId="0" applyFont="1" applyBorder="1" applyAlignment="1">
      <alignment horizontal="center" vertical="center" wrapText="1"/>
    </xf>
    <xf numFmtId="167" fontId="20" fillId="0" borderId="2" xfId="2" applyNumberFormat="1" applyFont="1" applyFill="1" applyBorder="1" applyAlignment="1">
      <alignment horizontal="right" vertical="center" wrapText="1"/>
    </xf>
    <xf numFmtId="43" fontId="1" fillId="0" borderId="0" xfId="0" applyNumberFormat="1" applyAlignment="1">
      <alignment vertical="bottom"/>
    </xf>
    <xf numFmtId="43" fontId="1" fillId="0" borderId="0" xfId="2" applyFont="1" applyAlignment="1">
      <alignment vertical="bottom"/>
    </xf>
    <xf numFmtId="0" fontId="21" fillId="8" borderId="2" xfId="0" applyFont="1" applyFill="1" applyBorder="1" applyAlignment="1">
      <alignment vertical="center" wrapText="1"/>
    </xf>
    <xf numFmtId="0" fontId="21" fillId="8"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2" xfId="0" applyFont="1" applyFill="1" applyBorder="1" applyAlignment="1">
      <alignment vertical="center" wrapText="1"/>
    </xf>
    <xf numFmtId="167" fontId="14" fillId="5" borderId="2" xfId="2" applyNumberFormat="1" applyFont="1" applyFill="1" applyBorder="1" applyAlignment="1">
      <alignment horizontal="center" vertical="center" wrapText="1"/>
    </xf>
    <xf numFmtId="167" fontId="14" fillId="5" borderId="2" xfId="2" applyNumberFormat="1" applyFont="1" applyFill="1" applyBorder="1" applyAlignment="1">
      <alignment horizontal="right" vertical="center" wrapText="1"/>
    </xf>
    <xf numFmtId="0" fontId="22" fillId="0" borderId="2" xfId="0" applyFont="1" applyBorder="1" applyAlignment="1">
      <alignment horizontal="center" vertical="center" wrapText="1"/>
    </xf>
    <xf numFmtId="167" fontId="22" fillId="0" borderId="2" xfId="2" applyNumberFormat="1" applyFont="1" applyBorder="1" applyAlignment="1">
      <alignment horizontal="right" vertical="center" wrapText="1"/>
    </xf>
    <xf numFmtId="0" fontId="21" fillId="8" borderId="2" xfId="0" applyFont="1" applyFill="1" applyBorder="1" applyAlignment="1">
      <alignment horizontal="center" vertical="center" wrapText="1"/>
    </xf>
    <xf numFmtId="0" fontId="15" fillId="8" borderId="2" xfId="0" applyFont="1" applyFill="1" applyBorder="1" applyAlignment="1">
      <alignment vertical="center" wrapText="1"/>
    </xf>
    <xf numFmtId="167" fontId="19" fillId="5" borderId="2" xfId="2" applyNumberFormat="1" applyFont="1" applyFill="1" applyBorder="1" applyAlignment="1">
      <alignment horizontal="center" vertical="center" wrapText="1"/>
    </xf>
    <xf numFmtId="167" fontId="20" fillId="0" borderId="2" xfId="2" applyNumberFormat="1" applyFont="1" applyBorder="1" applyAlignment="1">
      <alignment horizontal="right" vertical="center" wrapText="1"/>
    </xf>
    <xf numFmtId="0" fontId="5" fillId="6" borderId="0" xfId="0" applyFont="1" applyFill="1" applyAlignment="1">
      <alignment horizontal="center" vertical="bottom"/>
    </xf>
    <xf numFmtId="0" fontId="15" fillId="8" borderId="11" xfId="0" applyFont="1" applyFill="1" applyBorder="1" applyAlignment="1">
      <alignment vertical="center" wrapText="1"/>
    </xf>
    <xf numFmtId="0" fontId="15" fillId="8" borderId="12" xfId="0" applyFont="1" applyFill="1" applyBorder="1" applyAlignment="1">
      <alignment horizontal="center" vertical="center" wrapText="1"/>
    </xf>
    <xf numFmtId="0" fontId="19" fillId="5" borderId="13" xfId="0" applyFont="1" applyFill="1" applyBorder="1" applyAlignment="1">
      <alignment horizontal="right" vertical="center" wrapText="1"/>
    </xf>
    <xf numFmtId="0" fontId="19" fillId="5" borderId="14" xfId="0" applyFont="1" applyFill="1" applyBorder="1" applyAlignment="1">
      <alignment vertical="center" wrapText="1"/>
    </xf>
    <xf numFmtId="167" fontId="19" fillId="5" borderId="14" xfId="2" applyNumberFormat="1" applyFont="1" applyFill="1" applyBorder="1" applyAlignment="1">
      <alignment horizontal="right" vertical="center" wrapText="1"/>
    </xf>
    <xf numFmtId="0" fontId="20" fillId="0" borderId="15" xfId="0" applyFont="1" applyBorder="1" applyAlignment="1">
      <alignment horizontal="center" vertical="center" wrapText="1"/>
    </xf>
    <xf numFmtId="0" fontId="20" fillId="0" borderId="12" xfId="0" applyFont="1" applyBorder="1" applyAlignment="1">
      <alignment horizontal="center" vertical="center" wrapText="1"/>
    </xf>
    <xf numFmtId="167" fontId="20" fillId="5" borderId="14" xfId="2" applyNumberFormat="1" applyFont="1" applyFill="1" applyBorder="1" applyAlignment="1">
      <alignment horizontal="right" vertical="center" wrapText="1"/>
    </xf>
    <xf numFmtId="0" fontId="23" fillId="0" borderId="0" xfId="0" applyFont="1" applyAlignment="1">
      <alignment horizontal="center" vertical="bottom" wrapText="1"/>
    </xf>
    <xf numFmtId="0" fontId="17" fillId="0" borderId="0" xfId="0" applyFont="1" applyAlignment="1">
      <alignment vertical="bottom"/>
    </xf>
    <xf numFmtId="9" fontId="17" fillId="0" borderId="0" xfId="0" applyNumberFormat="1" applyFont="1" applyAlignment="1">
      <alignment vertical="bottom"/>
    </xf>
    <xf numFmtId="10" fontId="17" fillId="0" borderId="0" xfId="0" applyNumberFormat="1" applyFont="1" applyAlignment="1">
      <alignment vertical="bottom"/>
    </xf>
    <xf numFmtId="0" fontId="24" fillId="8" borderId="2" xfId="0" applyFont="1" applyFill="1" applyBorder="1" applyAlignment="1">
      <alignment vertical="bottom"/>
    </xf>
    <xf numFmtId="0" fontId="24" fillId="8" borderId="2" xfId="0" applyFont="1" applyFill="1" applyBorder="1" applyAlignment="1">
      <alignment horizontal="center" vertical="bottom"/>
    </xf>
    <xf numFmtId="0" fontId="17" fillId="0" borderId="2" xfId="0" applyFont="1" applyBorder="1" applyAlignment="1">
      <alignment vertical="bottom"/>
    </xf>
    <xf numFmtId="169" fontId="17" fillId="5" borderId="2" xfId="1" applyNumberFormat="1" applyFont="1" applyFill="1" applyBorder="1" applyAlignment="1">
      <alignment vertical="bottom"/>
    </xf>
    <xf numFmtId="169" fontId="17" fillId="0" borderId="2" xfId="1" applyNumberFormat="1" applyFont="1" applyBorder="1" applyAlignment="1">
      <alignment vertical="bottom"/>
    </xf>
    <xf numFmtId="0" fontId="18" fillId="0" borderId="2" xfId="0" applyFont="1" applyBorder="1" applyAlignment="1">
      <alignment vertical="bottom"/>
    </xf>
    <xf numFmtId="169" fontId="18" fillId="0" borderId="2" xfId="1" applyNumberFormat="1" applyFont="1" applyBorder="1" applyAlignment="1">
      <alignment vertical="bottom"/>
    </xf>
    <xf numFmtId="0" fontId="25" fillId="0" borderId="0" xfId="4" applyFont="1" applyFill="1" applyBorder="1" applyAlignment="1">
      <alignment horizontal="center" vertical="bottom"/>
    </xf>
    <xf numFmtId="0" fontId="26" fillId="0" borderId="0" xfId="4" applyFont="1" applyFill="1" applyBorder="1" applyAlignment="1">
      <alignment horizontal="center" vertical="bottom"/>
    </xf>
    <xf numFmtId="0" fontId="1" fillId="0" borderId="0" xfId="0" applyFill="1" applyAlignment="1">
      <alignment vertical="bottom"/>
    </xf>
    <xf numFmtId="0" fontId="25" fillId="0" borderId="0" xfId="4" applyFont="1" applyFill="1" applyBorder="1" applyAlignment="1">
      <alignment horizontal="center" vertical="bottom"/>
    </xf>
    <xf numFmtId="0" fontId="18" fillId="0" borderId="1" xfId="0" applyFont="1" applyBorder="1" applyAlignment="1">
      <alignment horizontal="center" vertical="bottom"/>
    </xf>
    <xf numFmtId="0" fontId="5" fillId="0" borderId="1" xfId="0" applyFont="1" applyBorder="1" applyAlignment="1">
      <alignment horizontal="center" vertical="bottom"/>
    </xf>
    <xf numFmtId="0" fontId="24" fillId="8" borderId="2" xfId="5" applyFont="1" applyFill="1" applyBorder="1" applyAlignment="1">
      <alignment vertical="bottom"/>
    </xf>
    <xf numFmtId="0" fontId="27" fillId="8" borderId="2" xfId="0" applyFont="1" applyFill="1" applyBorder="1" applyAlignment="1">
      <alignment vertical="bottom"/>
    </xf>
    <xf numFmtId="0" fontId="24" fillId="8" borderId="2" xfId="0" applyFont="1" applyFill="1" applyBorder="1" applyAlignment="1">
      <alignment horizontal="center" vertical="bottom" wrapText="1"/>
    </xf>
    <xf numFmtId="0" fontId="27" fillId="0" borderId="2" xfId="0" applyFont="1" applyFill="1" applyBorder="1" applyAlignment="1">
      <alignment horizontal="center" vertical="bottom"/>
    </xf>
    <xf numFmtId="0" fontId="28" fillId="0" borderId="2" xfId="0" applyFont="1" applyFill="1" applyBorder="1" applyAlignment="1">
      <alignment vertical="bottom"/>
    </xf>
    <xf numFmtId="0" fontId="17" fillId="0" borderId="2" xfId="0" applyFont="1" applyFill="1" applyBorder="1" applyAlignment="1">
      <alignment vertical="bottom"/>
    </xf>
    <xf numFmtId="0" fontId="29" fillId="0" borderId="2" xfId="0" applyFont="1" applyFill="1" applyBorder="1" applyAlignment="1">
      <alignment horizontal="center" vertical="bottom"/>
    </xf>
    <xf numFmtId="0" fontId="17" fillId="0" borderId="2" xfId="0" applyFont="1" applyFill="1" applyBorder="1" applyAlignment="1">
      <alignment horizontal="left" vertical="bottom"/>
    </xf>
    <xf numFmtId="0" fontId="27" fillId="0" borderId="2" xfId="0" applyFont="1" applyFill="1" applyBorder="1" applyAlignment="1">
      <alignment horizontal="left" vertical="bottom"/>
    </xf>
    <xf numFmtId="167" fontId="16" fillId="0" borderId="2" xfId="0" applyNumberFormat="1" applyFont="1" applyFill="1" applyBorder="1" applyAlignment="1">
      <alignment vertical="bottom"/>
    </xf>
    <xf numFmtId="0" fontId="18" fillId="0" borderId="2" xfId="0" applyFont="1" applyFill="1" applyBorder="1" applyAlignment="1">
      <alignment horizontal="left" vertical="bottom"/>
    </xf>
    <xf numFmtId="167" fontId="30" fillId="0" borderId="2" xfId="0" applyNumberFormat="1" applyFont="1" applyFill="1" applyBorder="1" applyAlignment="1">
      <alignment vertical="bottom"/>
    </xf>
    <xf numFmtId="0" fontId="17" fillId="0" borderId="0" xfId="0" applyFont="1" applyAlignment="1">
      <alignment horizontal="left" vertical="bottom"/>
    </xf>
    <xf numFmtId="167" fontId="16" fillId="0" borderId="0" xfId="0" applyNumberFormat="1" applyFont="1" applyFill="1" applyBorder="1" applyAlignment="1">
      <alignment vertical="bottom"/>
    </xf>
    <xf numFmtId="0" fontId="27" fillId="10" borderId="0" xfId="0" applyFont="1" applyFill="1" applyBorder="1" applyAlignment="1">
      <alignment horizontal="left" vertical="bottom" wrapText="1"/>
    </xf>
    <xf numFmtId="0" fontId="27" fillId="0" borderId="0" xfId="0" applyFont="1" applyFill="1" applyBorder="1" applyAlignment="1">
      <alignment horizontal="center" vertical="bottom"/>
    </xf>
    <xf numFmtId="0" fontId="27" fillId="0" borderId="0" xfId="0" applyFont="1" applyFill="1" applyBorder="1" applyAlignment="1">
      <alignment vertical="bottom"/>
    </xf>
    <xf numFmtId="0" fontId="27" fillId="0" borderId="0" xfId="0" applyFont="1" applyFill="1" applyBorder="1" applyAlignment="1">
      <alignment vertical="bottom" wrapText="1"/>
    </xf>
    <xf numFmtId="10" fontId="17" fillId="0" borderId="0" xfId="0" applyNumberFormat="1" applyFont="1" applyBorder="1" applyAlignment="1">
      <alignment vertical="bottom"/>
    </xf>
    <xf numFmtId="0" fontId="17" fillId="0" borderId="0" xfId="0" applyFont="1" applyFill="1" applyBorder="1" applyAlignment="1">
      <alignment vertical="bottom" wrapText="1"/>
    </xf>
    <xf numFmtId="10" fontId="31" fillId="0" borderId="0" xfId="3" applyNumberFormat="1" applyFont="1" applyBorder="1" applyAlignment="1">
      <alignment vertical="bottom"/>
    </xf>
    <xf numFmtId="9" fontId="17" fillId="0" borderId="0" xfId="0" applyNumberFormat="1" applyFont="1" applyBorder="1" applyAlignment="1">
      <alignment vertical="bottom"/>
    </xf>
    <xf numFmtId="9" fontId="17" fillId="0" borderId="0" xfId="0" applyNumberFormat="1" applyFont="1" applyFill="1" applyBorder="1" applyAlignment="1">
      <alignment vertical="bottom"/>
    </xf>
    <xf numFmtId="9" fontId="17" fillId="0" borderId="0" xfId="3" applyFont="1" applyAlignment="1">
      <alignment vertical="bottom"/>
    </xf>
    <xf numFmtId="0" fontId="32" fillId="0" borderId="0" xfId="0" applyFont="1" applyAlignment="1">
      <alignment vertical="bottom"/>
    </xf>
    <xf numFmtId="0" fontId="33" fillId="0" borderId="0" xfId="5" applyFont="1" applyFill="1" applyBorder="1" applyAlignment="1">
      <alignment vertical="bottom"/>
    </xf>
    <xf numFmtId="0" fontId="24" fillId="9" borderId="2" xfId="0" applyFont="1" applyFill="1" applyBorder="1">
      <alignment vertical="center"/>
    </xf>
    <xf numFmtId="0" fontId="24" fillId="9" borderId="2" xfId="0" applyFont="1" applyFill="1" applyBorder="1" applyAlignment="1">
      <alignment horizontal="center" vertical="center"/>
    </xf>
    <xf numFmtId="167" fontId="34" fillId="9" borderId="2" xfId="2" applyNumberFormat="1" applyFont="1" applyFill="1" applyBorder="1" applyAlignment="1">
      <alignment horizontal="center" vertical="bottom"/>
    </xf>
    <xf numFmtId="167" fontId="32" fillId="0" borderId="0" xfId="2" applyNumberFormat="1" applyFont="1" applyFill="1" applyBorder="1" applyAlignment="1">
      <alignment vertical="bottom"/>
    </xf>
    <xf numFmtId="0" fontId="30" fillId="0" borderId="2" xfId="0" applyFont="1" applyBorder="1">
      <alignment vertical="center"/>
    </xf>
    <xf numFmtId="0" fontId="30" fillId="0" borderId="2" xfId="0" applyFont="1" applyBorder="1" applyAlignment="1">
      <alignment horizontal="center" vertical="center"/>
    </xf>
    <xf numFmtId="167" fontId="16" fillId="0" borderId="2" xfId="2" applyNumberFormat="1" applyFont="1" applyFill="1" applyBorder="1" applyAlignment="1">
      <alignment vertical="bottom"/>
    </xf>
    <xf numFmtId="0" fontId="30" fillId="0" borderId="2" xfId="0" applyFont="1" applyBorder="1" applyAlignment="1">
      <alignment vertical="bottom"/>
    </xf>
    <xf numFmtId="0" fontId="16" fillId="0" borderId="2" xfId="0" applyFont="1" applyBorder="1" applyAlignment="1">
      <alignment vertical="bottom"/>
    </xf>
    <xf numFmtId="167" fontId="30" fillId="0" borderId="2" xfId="0" applyNumberFormat="1" applyFont="1" applyBorder="1" applyAlignment="1">
      <alignment vertical="bottom"/>
    </xf>
    <xf numFmtId="167" fontId="35" fillId="0" borderId="0" xfId="0" applyNumberFormat="1" applyFont="1" applyAlignment="1">
      <alignment vertical="bottom"/>
    </xf>
    <xf numFmtId="38" fontId="35" fillId="0" borderId="0" xfId="0" applyNumberFormat="1" applyFont="1" applyFill="1" applyBorder="1" applyAlignment="1">
      <alignment horizontal="left" vertical="bottom"/>
    </xf>
    <xf numFmtId="0" fontId="32" fillId="0" borderId="0" xfId="0" applyFont="1" applyFill="1" applyBorder="1" applyAlignment="1">
      <alignment vertical="bottom"/>
    </xf>
    <xf numFmtId="0" fontId="25" fillId="0" borderId="0" xfId="4" applyFont="1" applyFill="1" applyBorder="1" applyAlignment="1">
      <alignment vertical="bottom"/>
    </xf>
    <xf numFmtId="0" fontId="35" fillId="0" borderId="0" xfId="0" applyFont="1" applyFill="1" applyBorder="1" applyAlignment="1">
      <alignment vertical="bottom"/>
    </xf>
    <xf numFmtId="0" fontId="31" fillId="0" borderId="2" xfId="0" applyFont="1" applyBorder="1" applyAlignment="1">
      <alignment vertical="bottom"/>
    </xf>
    <xf numFmtId="173" fontId="16" fillId="0" borderId="2" xfId="6" applyNumberFormat="1" applyFont="1" applyFill="1" applyBorder="1">
      <alignment vertical="center"/>
    </xf>
    <xf numFmtId="174" fontId="35" fillId="0" borderId="0" xfId="6" applyNumberFormat="1" applyFont="1" applyFill="1" applyBorder="1">
      <alignment vertical="center"/>
    </xf>
    <xf numFmtId="0" fontId="27" fillId="0" borderId="2" xfId="0" applyFont="1" applyBorder="1" applyAlignment="1">
      <alignment vertical="bottom"/>
    </xf>
    <xf numFmtId="173" fontId="30" fillId="0" borderId="2" xfId="6" applyNumberFormat="1" applyFont="1" applyFill="1" applyBorder="1">
      <alignment vertical="center"/>
    </xf>
    <xf numFmtId="0" fontId="36" fillId="0" borderId="16" xfId="0" applyFont="1" applyBorder="1" applyAlignment="1">
      <alignment vertical="bottom"/>
    </xf>
    <xf numFmtId="0" fontId="35" fillId="0" borderId="16" xfId="0" applyFont="1" applyBorder="1" applyAlignment="1">
      <alignment vertical="bottom"/>
    </xf>
    <xf numFmtId="9" fontId="35" fillId="6" borderId="0" xfId="3" applyFont="1" applyFill="1" applyBorder="1" applyAlignment="1">
      <alignment vertical="bottom"/>
    </xf>
    <xf numFmtId="0" fontId="35" fillId="0" borderId="0" xfId="0" applyFont="1" applyAlignment="1">
      <alignment horizontal="center" vertical="center" wrapText="1"/>
    </xf>
    <xf numFmtId="167" fontId="32" fillId="0" borderId="0" xfId="0" applyNumberFormat="1" applyFont="1" applyFill="1" applyBorder="1" applyAlignment="1">
      <alignment vertical="bottom"/>
    </xf>
    <xf numFmtId="0" fontId="8" fillId="0" borderId="17" xfId="0" applyFont="1" applyBorder="1" applyAlignment="1">
      <alignment horizontal="center" vertical="bottom"/>
    </xf>
    <xf numFmtId="0" fontId="1" fillId="0" borderId="0" xfId="0" applyBorder="1" applyAlignment="1">
      <alignment horizontal="center" vertical="bottom"/>
    </xf>
    <xf numFmtId="169" fontId="17" fillId="0" borderId="0" xfId="1" applyNumberFormat="1" applyFont="1" applyAlignment="1">
      <alignment vertical="bottom"/>
    </xf>
    <xf numFmtId="9" fontId="17" fillId="6" borderId="0" xfId="0" applyNumberFormat="1" applyFont="1" applyFill="1" applyAlignment="1">
      <alignment vertical="bottom"/>
    </xf>
    <xf numFmtId="0" fontId="17" fillId="6" borderId="0" xfId="0" applyNumberFormat="1" applyFont="1" applyFill="1" applyAlignment="1">
      <alignment vertical="bottom"/>
    </xf>
    <xf numFmtId="166" fontId="17" fillId="0" borderId="0" xfId="0" applyNumberFormat="1" applyFont="1" applyAlignment="1">
      <alignment vertical="bottom"/>
    </xf>
    <xf numFmtId="174" fontId="17" fillId="0" borderId="0" xfId="0" applyNumberFormat="1" applyFont="1" applyAlignment="1">
      <alignment vertical="bottom"/>
    </xf>
    <xf numFmtId="0" fontId="24" fillId="8" borderId="2" xfId="0" applyFont="1" applyFill="1" applyBorder="1" applyAlignment="1">
      <alignment horizontal="right" vertical="bottom"/>
    </xf>
    <xf numFmtId="2" fontId="24" fillId="8" borderId="2" xfId="0" applyNumberFormat="1" applyFont="1" applyFill="1" applyBorder="1" applyAlignment="1">
      <alignment horizontal="right" vertical="bottom"/>
    </xf>
    <xf numFmtId="2" fontId="1" fillId="0" borderId="0" xfId="0" applyNumberFormat="1" applyAlignment="1">
      <alignment vertical="bottom"/>
    </xf>
    <xf numFmtId="2" fontId="17" fillId="0" borderId="0" xfId="0" applyNumberFormat="1" applyFont="1" applyAlignment="1">
      <alignment vertical="bottom"/>
    </xf>
    <xf numFmtId="0" fontId="5" fillId="0" borderId="0" xfId="0" applyFont="1" applyAlignment="1">
      <alignment horizontal="center" vertical="bottom" wrapText="1"/>
    </xf>
    <xf numFmtId="0" fontId="8" fillId="0" borderId="0" xfId="0" applyFont="1" applyAlignment="1">
      <alignment vertical="bottom"/>
    </xf>
    <xf numFmtId="0" fontId="24" fillId="9" borderId="2" xfId="0" applyFont="1" applyFill="1" applyBorder="1" applyAlignment="1">
      <alignment vertical="bottom"/>
    </xf>
    <xf numFmtId="0" fontId="24" fillId="9" borderId="2" xfId="0" applyFont="1" applyFill="1" applyBorder="1" applyAlignment="1">
      <alignment horizontal="center" vertical="bottom"/>
    </xf>
    <xf numFmtId="0" fontId="16" fillId="5" borderId="0" xfId="0" applyFont="1" applyFill="1" applyAlignment="1">
      <alignment vertical="bottom"/>
    </xf>
    <xf numFmtId="0" fontId="30" fillId="5" borderId="0" xfId="0" applyFont="1" applyFill="1" applyAlignment="1">
      <alignment horizontal="center" vertical="bottom"/>
    </xf>
    <xf numFmtId="9" fontId="17" fillId="0" borderId="2" xfId="0" applyNumberFormat="1" applyFont="1" applyBorder="1" applyAlignment="1">
      <alignment vertical="bottom"/>
    </xf>
    <xf numFmtId="0" fontId="30" fillId="5" borderId="1" xfId="0" applyFont="1" applyFill="1" applyBorder="1" applyAlignment="1">
      <alignment horizontal="center" vertical="bottom"/>
    </xf>
    <xf numFmtId="0" fontId="30" fillId="5" borderId="2" xfId="0" applyFont="1" applyFill="1" applyBorder="1" applyAlignment="1">
      <alignment vertical="bottom"/>
    </xf>
    <xf numFmtId="0" fontId="30" fillId="9" borderId="2" xfId="0" applyFont="1" applyFill="1" applyBorder="1" applyAlignment="1">
      <alignment vertical="bottom"/>
    </xf>
    <xf numFmtId="0" fontId="16" fillId="5" borderId="2" xfId="0" applyFont="1" applyFill="1" applyBorder="1" applyAlignment="1">
      <alignment vertical="bottom"/>
    </xf>
    <xf numFmtId="2" fontId="16" fillId="5" borderId="2" xfId="0" applyNumberFormat="1" applyFont="1" applyFill="1" applyBorder="1" applyAlignment="1">
      <alignment vertical="bottom"/>
    </xf>
    <xf numFmtId="177" fontId="16" fillId="5" borderId="2" xfId="0" applyNumberFormat="1" applyFont="1" applyFill="1" applyBorder="1" applyAlignment="1">
      <alignment vertical="bottom"/>
    </xf>
    <xf numFmtId="0" fontId="1" fillId="0" borderId="2" xfId="0" applyBorder="1" applyAlignment="1">
      <alignment vertical="bottom"/>
    </xf>
    <xf numFmtId="9" fontId="17" fillId="6" borderId="2" xfId="0" applyNumberFormat="1" applyFont="1" applyFill="1" applyBorder="1" applyAlignment="1">
      <alignment vertical="bottom"/>
    </xf>
    <xf numFmtId="2" fontId="30" fillId="5" borderId="2" xfId="0" applyNumberFormat="1" applyFont="1" applyFill="1" applyBorder="1" applyAlignment="1">
      <alignment vertical="bottom"/>
    </xf>
    <xf numFmtId="9" fontId="17" fillId="5" borderId="2" xfId="0" applyNumberFormat="1" applyFont="1" applyFill="1" applyBorder="1" applyAlignment="1">
      <alignment vertical="bottom"/>
    </xf>
    <xf numFmtId="169" fontId="17" fillId="0" borderId="2" xfId="0" applyNumberFormat="1" applyFont="1" applyBorder="1" applyAlignment="1">
      <alignment vertical="bottom"/>
    </xf>
    <xf numFmtId="0" fontId="37" fillId="0" borderId="0" xfId="0" applyFont="1" applyAlignment="1">
      <alignment vertical="bottom"/>
    </xf>
    <xf numFmtId="0" fontId="1" fillId="0" borderId="0" xfId="0" applyAlignment="1">
      <alignment vertical="bottom" wrapText="1"/>
    </xf>
    <xf numFmtId="0" fontId="15" fillId="8" borderId="2"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10"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2" xfId="0" applyFont="1" applyFill="1" applyBorder="1" applyAlignment="1">
      <alignment horizontal="left" vertical="center" wrapText="1"/>
    </xf>
    <xf numFmtId="169" fontId="16" fillId="0" borderId="2" xfId="1" applyNumberFormat="1"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2" xfId="0" applyFont="1" applyFill="1" applyBorder="1" applyAlignment="1">
      <alignment vertical="center" wrapText="1"/>
    </xf>
    <xf numFmtId="169" fontId="19" fillId="0" borderId="2" xfId="1" applyNumberFormat="1" applyFont="1" applyFill="1" applyBorder="1" applyAlignment="1">
      <alignment horizontal="right" vertical="center" wrapText="1"/>
    </xf>
    <xf numFmtId="0" fontId="19" fillId="0" borderId="2" xfId="0" applyFont="1" applyBorder="1" applyAlignment="1">
      <alignment horizontal="center" vertical="center" wrapText="1"/>
    </xf>
    <xf numFmtId="0" fontId="19" fillId="0" borderId="2" xfId="0" applyFont="1" applyFill="1" applyBorder="1" applyAlignment="1">
      <alignment vertical="center" wrapText="1"/>
    </xf>
    <xf numFmtId="0" fontId="20" fillId="0" borderId="2" xfId="0" applyFont="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5" borderId="5" xfId="0" applyFont="1" applyFill="1" applyBorder="1" applyAlignment="1">
      <alignment horizontal="center" vertical="center" wrapText="1"/>
    </xf>
    <xf numFmtId="169" fontId="20" fillId="0" borderId="2" xfId="1" applyNumberFormat="1" applyFont="1" applyFill="1" applyBorder="1" applyAlignment="1">
      <alignment horizontal="right" vertical="center" wrapText="1"/>
    </xf>
    <xf numFmtId="0" fontId="19" fillId="0" borderId="2" xfId="0" applyFont="1" applyBorder="1" applyAlignment="1">
      <alignment horizontal="right" vertical="center" wrapText="1"/>
    </xf>
    <xf numFmtId="9" fontId="20" fillId="6" borderId="2" xfId="0" applyNumberFormat="1" applyFont="1" applyFill="1" applyBorder="1" applyAlignment="1">
      <alignment horizontal="center" vertical="center" wrapText="1"/>
    </xf>
    <xf numFmtId="165" fontId="1" fillId="0" borderId="0" xfId="0" applyNumberFormat="1" applyAlignment="1">
      <alignment vertical="bottom"/>
    </xf>
    <xf numFmtId="0" fontId="38" fillId="0" borderId="0" xfId="0" applyFont="1" applyAlignment="1">
      <alignment horizontal="center" vertical="bottom" wrapText="1"/>
    </xf>
    <xf numFmtId="0" fontId="39" fillId="0" borderId="0" xfId="0" applyFont="1" applyAlignment="1">
      <alignment horizontal="center" vertical="bottom" wrapText="1"/>
    </xf>
    <xf numFmtId="9" fontId="1" fillId="0" borderId="0" xfId="0" applyNumberFormat="1" applyAlignment="1">
      <alignment vertical="bottom"/>
    </xf>
    <xf numFmtId="169" fontId="1" fillId="0" borderId="0" xfId="0" applyNumberFormat="1" applyAlignment="1">
      <alignment vertical="bottom"/>
    </xf>
    <xf numFmtId="0" fontId="40" fillId="0" borderId="0" xfId="0" applyFont="1" applyAlignment="1">
      <alignment horizontal="center" vertical="bottom" wrapText="1"/>
    </xf>
    <xf numFmtId="0" fontId="41" fillId="0" borderId="0" xfId="0" applyFont="1" applyAlignment="1">
      <alignment vertical="bottom"/>
    </xf>
    <xf numFmtId="0" fontId="32" fillId="0" borderId="0" xfId="0" applyFont="1" applyBorder="1">
      <alignment vertical="center"/>
    </xf>
    <xf numFmtId="0" fontId="8" fillId="0" borderId="18" xfId="0" applyFont="1" applyBorder="1" applyAlignment="1">
      <alignment horizontal="center" vertical="bottom"/>
    </xf>
    <xf numFmtId="0" fontId="5" fillId="0" borderId="0" xfId="0" applyFont="1" applyBorder="1" applyAlignment="1">
      <alignment vertical="bottom"/>
    </xf>
    <xf numFmtId="0" fontId="42" fillId="0" borderId="0" xfId="0" applyFont="1" applyBorder="1">
      <alignment vertical="center"/>
    </xf>
    <xf numFmtId="0" fontId="35" fillId="0" borderId="0" xfId="0" applyFont="1" applyBorder="1">
      <alignment vertical="center"/>
    </xf>
    <xf numFmtId="0" fontId="24" fillId="8" borderId="19" xfId="0" applyFont="1" applyFill="1" applyBorder="1">
      <alignment vertical="center"/>
    </xf>
    <xf numFmtId="0" fontId="24" fillId="8" borderId="8" xfId="0" applyFont="1" applyFill="1" applyBorder="1" applyAlignment="1">
      <alignment horizontal="center" vertical="bottom"/>
    </xf>
    <xf numFmtId="0" fontId="32" fillId="0" borderId="0" xfId="0" applyFont="1" applyFill="1" applyBorder="1">
      <alignment vertical="center"/>
    </xf>
    <xf numFmtId="0" fontId="16" fillId="0" borderId="20" xfId="0" applyFont="1" applyFill="1" applyBorder="1">
      <alignment vertical="center"/>
    </xf>
    <xf numFmtId="37" fontId="30" fillId="0" borderId="2" xfId="2" applyNumberFormat="1" applyFont="1" applyFill="1" applyBorder="1">
      <alignment vertical="center"/>
    </xf>
    <xf numFmtId="3" fontId="43" fillId="0" borderId="2" xfId="6" applyNumberFormat="1" applyFont="1" applyFill="1" applyBorder="1" applyAlignment="1">
      <alignment horizontal="right" vertical="center"/>
    </xf>
    <xf numFmtId="0" fontId="44" fillId="0" borderId="20" xfId="0" applyFont="1" applyFill="1" applyBorder="1">
      <alignment vertical="center"/>
    </xf>
    <xf numFmtId="4" fontId="16" fillId="0" borderId="2" xfId="2" applyNumberFormat="1" applyFont="1" applyFill="1" applyBorder="1">
      <alignment vertical="center"/>
    </xf>
    <xf numFmtId="0" fontId="30" fillId="0" borderId="20" xfId="0" applyFont="1" applyFill="1" applyBorder="1" applyAlignment="1">
      <alignment horizontal="left" vertical="center"/>
    </xf>
    <xf numFmtId="4" fontId="45" fillId="0" borderId="2" xfId="2" applyNumberFormat="1" applyFont="1" applyFill="1" applyBorder="1">
      <alignment vertical="center"/>
    </xf>
    <xf numFmtId="0" fontId="30" fillId="0" borderId="20" xfId="0" applyFont="1" applyFill="1" applyBorder="1" applyAlignment="1">
      <alignment horizontal="left" vertical="center" indent="1"/>
    </xf>
    <xf numFmtId="3" fontId="30" fillId="0" borderId="2" xfId="2" applyNumberFormat="1" applyFont="1" applyFill="1" applyBorder="1">
      <alignment vertical="center"/>
    </xf>
    <xf numFmtId="3" fontId="32" fillId="0" borderId="0" xfId="0" applyNumberFormat="1" applyFont="1" applyBorder="1">
      <alignment vertical="center"/>
    </xf>
    <xf numFmtId="0" fontId="16" fillId="0" borderId="20" xfId="0" applyFont="1" applyFill="1" applyBorder="1" applyAlignment="1">
      <alignment horizontal="left" vertical="center" indent="1"/>
    </xf>
    <xf numFmtId="3" fontId="16" fillId="0" borderId="2" xfId="2" applyNumberFormat="1" applyFont="1" applyFill="1" applyBorder="1">
      <alignment vertical="center"/>
    </xf>
    <xf numFmtId="0" fontId="16" fillId="0" borderId="20" xfId="0" applyFont="1" applyFill="1" applyBorder="1" applyAlignment="1">
      <alignment horizontal="left" vertical="center"/>
    </xf>
    <xf numFmtId="0" fontId="30" fillId="0" borderId="20" xfId="0" applyFont="1" applyFill="1" applyBorder="1">
      <alignment vertical="center"/>
    </xf>
    <xf numFmtId="3" fontId="30" fillId="0" borderId="2" xfId="6" applyNumberFormat="1" applyFont="1" applyFill="1" applyBorder="1">
      <alignment vertical="center"/>
    </xf>
    <xf numFmtId="3" fontId="16" fillId="0" borderId="2" xfId="6" applyNumberFormat="1" applyFont="1" applyFill="1" applyBorder="1">
      <alignment vertical="center"/>
    </xf>
    <xf numFmtId="3" fontId="45" fillId="0" borderId="2" xfId="2" applyNumberFormat="1" applyFont="1" applyFill="1" applyBorder="1">
      <alignment vertical="center"/>
    </xf>
    <xf numFmtId="3" fontId="43" fillId="0" borderId="2" xfId="2" applyNumberFormat="1" applyFont="1" applyFill="1" applyBorder="1">
      <alignment vertical="center"/>
    </xf>
    <xf numFmtId="3" fontId="16" fillId="0" borderId="2" xfId="0" applyNumberFormat="1" applyFont="1" applyFill="1" applyBorder="1">
      <alignment vertical="center"/>
    </xf>
    <xf numFmtId="0" fontId="27" fillId="0" borderId="20" xfId="0" applyFont="1" applyFill="1" applyBorder="1">
      <alignment vertical="center"/>
    </xf>
    <xf numFmtId="3" fontId="27" fillId="0" borderId="2" xfId="2" applyNumberFormat="1" applyFont="1" applyFill="1" applyBorder="1">
      <alignment vertical="center"/>
    </xf>
    <xf numFmtId="4" fontId="16" fillId="0" borderId="2" xfId="0" applyNumberFormat="1" applyFont="1" applyFill="1" applyBorder="1">
      <alignment vertical="center"/>
    </xf>
    <xf numFmtId="0" fontId="46" fillId="0" borderId="20" xfId="0" applyFont="1" applyFill="1" applyBorder="1">
      <alignment vertical="center"/>
    </xf>
    <xf numFmtId="4" fontId="47" fillId="0" borderId="2" xfId="0" applyNumberFormat="1" applyFont="1" applyFill="1" applyBorder="1">
      <alignment vertical="center"/>
    </xf>
    <xf numFmtId="0" fontId="48" fillId="0" borderId="20" xfId="0" applyFont="1" applyFill="1" applyBorder="1">
      <alignment vertical="center"/>
    </xf>
    <xf numFmtId="4" fontId="48" fillId="0" borderId="2" xfId="6" applyNumberFormat="1" applyFont="1" applyFill="1" applyBorder="1">
      <alignment vertical="center"/>
    </xf>
    <xf numFmtId="0" fontId="48" fillId="0" borderId="21" xfId="0" applyFont="1" applyFill="1" applyBorder="1">
      <alignment vertical="center"/>
    </xf>
    <xf numFmtId="4" fontId="48" fillId="0" borderId="22" xfId="0" applyNumberFormat="1" applyFont="1" applyFill="1" applyBorder="1">
      <alignment vertical="center"/>
    </xf>
    <xf numFmtId="4" fontId="32" fillId="0" borderId="0" xfId="0" applyNumberFormat="1" applyFont="1" applyBorder="1">
      <alignment vertical="center"/>
    </xf>
    <xf numFmtId="0" fontId="49" fillId="0" borderId="0" xfId="0" applyFont="1" applyAlignment="1">
      <alignment horizontal="center" vertical="bottom" wrapText="1"/>
    </xf>
    <xf numFmtId="0" fontId="50" fillId="0" borderId="0" xfId="0" applyFont="1" applyAlignment="1">
      <alignment horizontal="center" vertical="bottom" wrapText="1"/>
    </xf>
    <xf numFmtId="0" fontId="24" fillId="8" borderId="2" xfId="0" applyFont="1" applyFill="1" applyBorder="1" applyAlignment="1">
      <alignment vertical="bottom" wrapText="1"/>
    </xf>
    <xf numFmtId="0" fontId="27" fillId="0" borderId="2" xfId="0" applyFont="1" applyFill="1" applyBorder="1" applyAlignment="1">
      <alignment vertical="bottom" wrapText="1"/>
    </xf>
    <xf numFmtId="169" fontId="31" fillId="0" borderId="2" xfId="2" applyNumberFormat="1" applyFont="1" applyFill="1" applyBorder="1" applyAlignment="1">
      <alignment vertical="bottom" wrapText="1"/>
    </xf>
    <xf numFmtId="0" fontId="31" fillId="0" borderId="2" xfId="0" applyFont="1" applyFill="1" applyBorder="1" applyAlignment="1">
      <alignment horizontal="left" vertical="bottom" wrapText="1"/>
    </xf>
    <xf numFmtId="169" fontId="27" fillId="0" borderId="2" xfId="2" applyNumberFormat="1" applyFont="1" applyFill="1" applyBorder="1" applyAlignment="1">
      <alignment vertical="bottom" wrapText="1"/>
    </xf>
    <xf numFmtId="0" fontId="27" fillId="0" borderId="2" xfId="0" applyFont="1" applyFill="1" applyBorder="1" applyAlignment="1">
      <alignment horizontal="center" vertical="bottom" wrapText="1"/>
    </xf>
    <xf numFmtId="0" fontId="31" fillId="0" borderId="2" xfId="0" applyFont="1" applyFill="1" applyBorder="1" applyAlignment="1">
      <alignment vertical="bottom" wrapText="1"/>
    </xf>
    <xf numFmtId="0" fontId="31" fillId="0" borderId="2" xfId="0" applyFont="1" applyFill="1" applyBorder="1" applyAlignment="1">
      <alignment horizontal="right" vertical="bottom" wrapText="1"/>
    </xf>
    <xf numFmtId="167" fontId="31" fillId="0" borderId="2" xfId="2" applyNumberFormat="1" applyFont="1" applyFill="1" applyBorder="1" applyAlignment="1">
      <alignment vertical="bottom" wrapText="1"/>
    </xf>
    <xf numFmtId="0" fontId="31" fillId="0" borderId="2" xfId="0" applyFont="1" applyFill="1" applyBorder="1" applyAlignment="1">
      <alignment vertical="center" wrapText="1"/>
    </xf>
    <xf numFmtId="169" fontId="31" fillId="0" borderId="2" xfId="1" applyNumberFormat="1" applyFont="1" applyFill="1" applyBorder="1" applyAlignment="1">
      <alignment vertical="bottom" wrapText="1"/>
    </xf>
    <xf numFmtId="0" fontId="27" fillId="0" borderId="2" xfId="0" applyFont="1" applyFill="1" applyBorder="1" applyAlignment="1">
      <alignment horizontal="right" vertical="bottom" wrapText="1"/>
    </xf>
    <xf numFmtId="169" fontId="31" fillId="11" borderId="2" xfId="2" applyNumberFormat="1" applyFont="1" applyFill="1" applyBorder="1" applyAlignment="1">
      <alignment vertical="bottom" wrapText="1"/>
    </xf>
    <xf numFmtId="169" fontId="27" fillId="0" borderId="2" xfId="0" applyNumberFormat="1" applyFont="1" applyFill="1" applyBorder="1" applyAlignment="1">
      <alignment vertical="bottom" wrapText="1"/>
    </xf>
    <xf numFmtId="169" fontId="31" fillId="0" borderId="2" xfId="0" applyNumberFormat="1" applyFont="1" applyFill="1" applyBorder="1" applyAlignment="1">
      <alignment vertical="bottom" wrapText="1"/>
    </xf>
    <xf numFmtId="0" fontId="27" fillId="0" borderId="2" xfId="0" applyFont="1" applyFill="1" applyBorder="1" applyAlignment="1">
      <alignment horizontal="left" vertical="bottom" wrapText="1"/>
    </xf>
    <xf numFmtId="0" fontId="22" fillId="0" borderId="0" xfId="0" applyFont="1" applyAlignment="1">
      <alignment horizontal="center" vertical="bottom" wrapText="1"/>
    </xf>
    <xf numFmtId="0" fontId="51" fillId="0" borderId="0" xfId="0" applyFont="1" applyAlignment="1">
      <alignment horizontal="center" vertical="bottom"/>
    </xf>
    <xf numFmtId="0" fontId="52" fillId="0" borderId="0" xfId="0" applyFont="1" applyAlignment="1">
      <alignment vertical="bottom"/>
    </xf>
    <xf numFmtId="0" fontId="34" fillId="9" borderId="2" xfId="0" applyFont="1" applyFill="1" applyBorder="1" applyAlignment="1">
      <alignment horizontal="left" vertical="bottom"/>
    </xf>
    <xf numFmtId="0" fontId="53" fillId="9" borderId="2" xfId="0" applyFont="1" applyFill="1" applyBorder="1" applyAlignment="1">
      <alignment horizontal="center" vertical="bottom"/>
    </xf>
    <xf numFmtId="0" fontId="54" fillId="9" borderId="16" xfId="0" applyFont="1" applyFill="1" applyBorder="1" applyAlignment="1">
      <alignment horizontal="center" vertical="bottom"/>
    </xf>
    <xf numFmtId="4" fontId="31" fillId="0" borderId="2" xfId="0" applyNumberFormat="1" applyFont="1" applyBorder="1" applyAlignment="1">
      <alignment vertical="bottom"/>
    </xf>
    <xf numFmtId="175" fontId="31" fillId="0" borderId="2" xfId="1" applyNumberFormat="1" applyFont="1" applyBorder="1" applyAlignment="1">
      <alignment vertical="bottom"/>
    </xf>
    <xf numFmtId="10" fontId="31" fillId="0" borderId="2" xfId="0" applyNumberFormat="1" applyFont="1" applyBorder="1" applyAlignment="1">
      <alignment vertical="bottom"/>
    </xf>
    <xf numFmtId="0" fontId="31" fillId="0" borderId="2" xfId="0" applyFont="1" applyBorder="1" applyAlignment="1" quotePrefix="1">
      <alignment horizontal="left" vertical="bottom"/>
    </xf>
    <xf numFmtId="4" fontId="55" fillId="0" borderId="2" xfId="0" applyNumberFormat="1" applyFont="1" applyBorder="1" applyAlignment="1">
      <alignment vertical="bottom"/>
    </xf>
    <xf numFmtId="4" fontId="1" fillId="0" borderId="2" xfId="0" applyNumberFormat="1" applyBorder="1" applyAlignment="1">
      <alignment vertical="bottom"/>
    </xf>
    <xf numFmtId="4" fontId="1" fillId="0" borderId="0" xfId="0" applyNumberFormat="1" applyAlignment="1">
      <alignment vertical="bottom"/>
    </xf>
    <xf numFmtId="10" fontId="1" fillId="0" borderId="0" xfId="0" applyNumberFormat="1" applyAlignment="1">
      <alignment vertical="bottom"/>
    </xf>
    <xf numFmtId="4" fontId="31" fillId="0" borderId="2" xfId="0" applyNumberFormat="1" applyFont="1" applyBorder="1" applyAlignment="1">
      <alignment horizontal="center" vertical="bottom"/>
    </xf>
    <xf numFmtId="0" fontId="31" fillId="0" borderId="0" xfId="0" applyFont="1" applyBorder="1" applyAlignment="1">
      <alignment vertical="bottom"/>
    </xf>
    <xf numFmtId="4" fontId="31" fillId="0" borderId="0" xfId="0" applyNumberFormat="1" applyFont="1" applyBorder="1" applyAlignment="1">
      <alignment horizontal="center" vertical="bottom"/>
    </xf>
    <xf numFmtId="0" fontId="56" fillId="0" borderId="0" xfId="5" applyFont="1" applyAlignment="1">
      <alignment horizontal="center" vertical="bottom" wrapText="1"/>
    </xf>
    <xf numFmtId="0" fontId="34" fillId="9" borderId="2" xfId="0" applyFont="1" applyFill="1" applyBorder="1" applyAlignment="1">
      <alignment vertical="bottom"/>
    </xf>
    <xf numFmtId="0" fontId="34" fillId="9" borderId="2" xfId="0" applyFont="1" applyFill="1" applyBorder="1" applyAlignment="1">
      <alignment horizontal="center" vertical="bottom"/>
    </xf>
    <xf numFmtId="2" fontId="17" fillId="0" borderId="2" xfId="0" applyNumberFormat="1" applyFont="1" applyBorder="1" applyAlignment="1">
      <alignment vertical="bottom"/>
    </xf>
    <xf numFmtId="9" fontId="17" fillId="0" borderId="2" xfId="3" applyFont="1" applyBorder="1" applyAlignment="1">
      <alignment vertical="bottom"/>
    </xf>
    <xf numFmtId="0" fontId="18" fillId="0" borderId="0" xfId="0" applyFont="1" applyAlignment="1">
      <alignment vertical="bottom"/>
    </xf>
    <xf numFmtId="10" fontId="18" fillId="0" borderId="0" xfId="3" applyNumberFormat="1" applyFont="1" applyAlignment="1">
      <alignment vertical="bottom"/>
    </xf>
    <xf numFmtId="0" fontId="57" fillId="0" borderId="0" xfId="0" applyFont="1" applyAlignment="1">
      <alignment horizontal="center" vertical="bottom" wrapText="1"/>
    </xf>
    <xf numFmtId="3" fontId="17" fillId="0" borderId="2" xfId="0" applyNumberFormat="1" applyFont="1" applyBorder="1" applyAlignment="1">
      <alignment vertical="bottom"/>
    </xf>
    <xf numFmtId="0" fontId="17" fillId="0" borderId="2" xfId="0" applyFont="1" applyBorder="1" applyAlignment="1">
      <alignment vertical="bottom" wrapText="1"/>
    </xf>
    <xf numFmtId="0" fontId="55" fillId="0" borderId="2" xfId="0" applyFont="1" applyBorder="1" applyAlignment="1">
      <alignment vertical="bottom"/>
    </xf>
    <xf numFmtId="0" fontId="55" fillId="0" borderId="0" xfId="0" applyFont="1" applyAlignment="1">
      <alignment vertical="bottom"/>
    </xf>
    <xf numFmtId="164" fontId="17" fillId="0" borderId="0" xfId="0" applyNumberFormat="1" applyFont="1" applyAlignment="1">
      <alignment vertical="bottom"/>
    </xf>
    <xf numFmtId="0" fontId="58" fillId="9" borderId="2" xfId="0" applyFont="1" applyFill="1" applyBorder="1" applyAlignment="1">
      <alignment horizontal="center" vertical="bottom"/>
    </xf>
    <xf numFmtId="0" fontId="59" fillId="0" borderId="2" xfId="0" applyFont="1" applyBorder="1" applyAlignment="1">
      <alignment horizontal="center" vertical="bottom"/>
    </xf>
    <xf numFmtId="0" fontId="60" fillId="0" borderId="2" xfId="0" applyFont="1" applyFill="1" applyBorder="1" applyAlignment="1">
      <alignment horizontal="center" vertical="bottom"/>
    </xf>
    <xf numFmtId="2" fontId="17" fillId="0" borderId="2" xfId="1" applyNumberFormat="1" applyFont="1" applyBorder="1" applyAlignment="1">
      <alignment horizontal="center" vertical="bottom"/>
    </xf>
    <xf numFmtId="0" fontId="18" fillId="0" borderId="2" xfId="0" applyFont="1" applyBorder="1" applyAlignment="1">
      <alignment horizontal="center" vertical="center"/>
    </xf>
    <xf numFmtId="10" fontId="18" fillId="0" borderId="2" xfId="3" applyNumberFormat="1" applyFont="1" applyBorder="1" applyAlignment="1">
      <alignment horizontal="center" vertical="bottom"/>
    </xf>
    <xf numFmtId="0" fontId="23" fillId="0" borderId="0" xfId="0" applyFont="1" applyAlignment="1">
      <alignment horizontal="center" vertical="bottom"/>
    </xf>
    <xf numFmtId="0" fontId="31" fillId="0" borderId="2" xfId="0" applyFont="1" applyBorder="1" applyAlignment="1">
      <alignment horizontal="center" vertical="bottom"/>
    </xf>
    <xf numFmtId="0" fontId="16" fillId="0" borderId="2" xfId="0" applyFont="1" applyFill="1" applyBorder="1" applyAlignment="1">
      <alignment horizontal="center" vertical="bottom"/>
    </xf>
    <xf numFmtId="0" fontId="1" fillId="0" borderId="2" xfId="0" applyFont="1" applyFill="1" applyBorder="1" applyAlignment="1">
      <alignment vertical="bottom"/>
    </xf>
    <xf numFmtId="169" fontId="31" fillId="0" borderId="2" xfId="1" applyNumberFormat="1" applyFont="1" applyBorder="1" applyAlignment="1">
      <alignment horizontal="center" vertical="bottom"/>
    </xf>
    <xf numFmtId="0" fontId="1" fillId="0" borderId="2" xfId="0" applyFont="1" applyBorder="1" applyAlignment="1">
      <alignment vertical="bottom"/>
    </xf>
    <xf numFmtId="169" fontId="1" fillId="0" borderId="2" xfId="1" applyNumberFormat="1" applyFont="1" applyBorder="1" applyAlignment="1">
      <alignment vertical="bottom"/>
    </xf>
    <xf numFmtId="169" fontId="1" fillId="0" borderId="2" xfId="1" applyNumberFormat="1" applyFont="1" applyBorder="1" applyAlignment="1">
      <alignment vertical="bottom"/>
    </xf>
    <xf numFmtId="169" fontId="1" fillId="0" borderId="2" xfId="0" applyNumberFormat="1" applyFont="1" applyBorder="1" applyAlignment="1">
      <alignment vertical="bottom"/>
    </xf>
    <xf numFmtId="0" fontId="1" fillId="0" borderId="2" xfId="0" applyFont="1" applyBorder="1" applyAlignment="1">
      <alignment horizontal="center" vertical="center"/>
    </xf>
    <xf numFmtId="169" fontId="5" fillId="0" borderId="2" xfId="1" applyNumberFormat="1" applyFont="1" applyBorder="1" applyAlignment="1">
      <alignment vertical="bottom"/>
    </xf>
    <xf numFmtId="2" fontId="5" fillId="0" borderId="2" xfId="0" applyNumberFormat="1" applyFont="1" applyBorder="1" applyAlignment="1">
      <alignment vertical="bottom"/>
    </xf>
    <xf numFmtId="0" fontId="1" fillId="0" borderId="0" xfId="0" applyFont="1" applyAlignment="1">
      <alignment vertical="bottom"/>
    </xf>
    <xf numFmtId="0" fontId="5" fillId="0" borderId="0" xfId="0" applyFont="1" applyFill="1" applyAlignment="1">
      <alignment vertical="bottom"/>
    </xf>
    <xf numFmtId="2" fontId="5" fillId="0" borderId="0" xfId="0" applyNumberFormat="1" applyFont="1" applyAlignment="1">
      <alignment vertical="bottom"/>
    </xf>
    <xf numFmtId="169" fontId="18" fillId="0" borderId="2" xfId="0" applyNumberFormat="1" applyFont="1" applyBorder="1" applyAlignment="1">
      <alignment vertical="bottom"/>
    </xf>
    <xf numFmtId="169" fontId="18" fillId="0" borderId="2" xfId="1" applyNumberFormat="1" applyFont="1" applyBorder="1" applyAlignment="1">
      <alignment vertical="bottom"/>
    </xf>
    <xf numFmtId="0" fontId="18" fillId="0" borderId="2" xfId="0" applyFont="1" applyFill="1" applyBorder="1" applyAlignment="1">
      <alignment vertical="bottom"/>
    </xf>
    <xf numFmtId="2" fontId="18" fillId="0" borderId="2" xfId="0" applyNumberFormat="1" applyFont="1" applyBorder="1" applyAlignment="1">
      <alignment vertical="bottom"/>
    </xf>
    <xf numFmtId="0" fontId="51" fillId="0" borderId="10" xfId="0" applyFont="1" applyFill="1" applyBorder="1" applyAlignment="1">
      <alignment horizontal="center" vertical="bottom"/>
    </xf>
    <xf numFmtId="0" fontId="51" fillId="0" borderId="1" xfId="0" applyFont="1" applyFill="1" applyBorder="1" applyAlignment="1">
      <alignment horizontal="center" vertical="bottom"/>
    </xf>
    <xf numFmtId="169" fontId="31" fillId="0" borderId="2" xfId="1" applyNumberFormat="1" applyFont="1" applyFill="1" applyBorder="1" applyAlignment="1">
      <alignment vertical="bottom"/>
    </xf>
    <xf numFmtId="0" fontId="5" fillId="0" borderId="0" xfId="0" applyFont="1" applyAlignment="1">
      <alignment vertical="bottom"/>
    </xf>
    <xf numFmtId="9" fontId="5" fillId="6" borderId="0" xfId="0" applyNumberFormat="1" applyFont="1" applyFill="1" applyAlignment="1">
      <alignment vertical="bottom"/>
    </xf>
    <xf numFmtId="169" fontId="27" fillId="0" borderId="2" xfId="1" applyNumberFormat="1" applyFont="1" applyFill="1" applyBorder="1" applyAlignment="1">
      <alignment vertical="bottom"/>
    </xf>
    <xf numFmtId="0" fontId="31" fillId="0" borderId="0" xfId="0" applyFont="1" applyFill="1" applyAlignment="1">
      <alignment vertical="bottom"/>
    </xf>
    <xf numFmtId="171" fontId="31" fillId="0" borderId="0" xfId="7" applyNumberFormat="1" applyFont="1" applyFill="1" applyAlignment="1">
      <alignment vertical="bottom"/>
    </xf>
    <xf numFmtId="0" fontId="24" fillId="9" borderId="2" xfId="0" applyFont="1" applyFill="1" applyBorder="1" applyAlignment="1">
      <alignment vertical="bottom" wrapText="1"/>
    </xf>
    <xf numFmtId="171" fontId="31" fillId="0" borderId="2" xfId="7" applyNumberFormat="1" applyFont="1" applyFill="1" applyBorder="1" applyAlignment="1">
      <alignment vertical="bottom"/>
    </xf>
    <xf numFmtId="176" fontId="31" fillId="0" borderId="2" xfId="7" applyNumberFormat="1" applyFont="1" applyFill="1" applyBorder="1" applyAlignment="1">
      <alignment vertical="bottom"/>
    </xf>
    <xf numFmtId="165" fontId="31" fillId="0" borderId="2" xfId="7" applyFont="1" applyFill="1" applyBorder="1" applyAlignment="1">
      <alignment vertical="bottom"/>
    </xf>
    <xf numFmtId="164" fontId="27" fillId="0" borderId="2" xfId="7" applyNumberFormat="1" applyFont="1" applyFill="1" applyBorder="1" applyAlignment="1">
      <alignment vertical="bottom"/>
    </xf>
    <xf numFmtId="171" fontId="27" fillId="0" borderId="2" xfId="7" applyNumberFormat="1" applyFont="1" applyFill="1" applyBorder="1" applyAlignment="1">
      <alignment vertical="bottom"/>
    </xf>
    <xf numFmtId="0" fontId="61" fillId="0" borderId="0" xfId="0" applyFont="1" applyAlignment="1">
      <alignment horizontal="center" vertical="bottom" wrapText="1"/>
    </xf>
    <xf numFmtId="0" fontId="61" fillId="0" borderId="0" xfId="0" applyFont="1" applyAlignment="1">
      <alignment vertical="bottom"/>
    </xf>
    <xf numFmtId="0" fontId="8" fillId="0" borderId="1" xfId="0" applyFont="1" applyBorder="1" applyAlignment="1">
      <alignment horizontal="center" vertical="bottom"/>
    </xf>
    <xf numFmtId="0" fontId="62" fillId="9" borderId="2" xfId="0" applyFont="1" applyFill="1" applyBorder="1" applyAlignment="1">
      <alignment vertical="bottom"/>
    </xf>
    <xf numFmtId="0" fontId="62" fillId="9" borderId="2" xfId="0" applyFont="1" applyFill="1" applyBorder="1" applyAlignment="1">
      <alignment horizontal="center" vertical="bottom"/>
    </xf>
    <xf numFmtId="0" fontId="62" fillId="0" borderId="0" xfId="0" applyFont="1" applyFill="1" applyBorder="1" applyAlignment="1">
      <alignment horizontal="center" vertical="bottom"/>
    </xf>
    <xf numFmtId="0" fontId="1" fillId="5" borderId="2" xfId="0" applyFill="1" applyBorder="1" applyAlignment="1">
      <alignment vertical="bottom"/>
    </xf>
    <xf numFmtId="0" fontId="1" fillId="0" borderId="0" xfId="0" applyNumberFormat="1" applyFill="1" applyBorder="1" applyAlignment="1">
      <alignment vertical="bottom"/>
    </xf>
    <xf numFmtId="1" fontId="1" fillId="0" borderId="0" xfId="0" applyNumberFormat="1" applyFill="1" applyBorder="1" applyAlignment="1">
      <alignment vertical="bottom"/>
    </xf>
    <xf numFmtId="0" fontId="5" fillId="0" borderId="2" xfId="0" applyFont="1" applyBorder="1" applyAlignment="1">
      <alignment vertical="bottom"/>
    </xf>
    <xf numFmtId="0" fontId="5" fillId="0" borderId="2" xfId="0" applyFont="1" applyFill="1" applyBorder="1" applyAlignment="1">
      <alignment vertical="bottom"/>
    </xf>
    <xf numFmtId="0" fontId="5" fillId="0" borderId="0" xfId="0" applyFont="1" applyFill="1" applyBorder="1" applyAlignment="1">
      <alignment vertical="bottom"/>
    </xf>
    <xf numFmtId="169" fontId="5" fillId="0" borderId="0" xfId="1" applyNumberFormat="1" applyFont="1" applyFill="1" applyBorder="1" applyAlignment="1">
      <alignment vertical="bottom"/>
    </xf>
    <xf numFmtId="0" fontId="5" fillId="5" borderId="2" xfId="0" applyFont="1" applyFill="1" applyBorder="1" applyAlignment="1">
      <alignment vertical="bottom"/>
    </xf>
    <xf numFmtId="0" fontId="5" fillId="0" borderId="0" xfId="0" applyFont="1" applyAlignment="1">
      <alignment vertical="bottom"/>
    </xf>
    <xf numFmtId="9" fontId="1" fillId="0" borderId="0" xfId="3" applyFont="1" applyAlignment="1">
      <alignment vertical="bottom"/>
    </xf>
    <xf numFmtId="170" fontId="1" fillId="0" borderId="0" xfId="0" applyNumberFormat="1" applyAlignment="1">
      <alignment vertical="bottom"/>
    </xf>
    <xf numFmtId="0" fontId="62" fillId="9" borderId="2" xfId="0" applyFont="1" applyFill="1" applyBorder="1" applyAlignment="1">
      <alignment vertical="bottom" wrapText="1"/>
    </xf>
    <xf numFmtId="0" fontId="5" fillId="0" borderId="16" xfId="0" applyFont="1" applyFill="1" applyBorder="1" applyAlignment="1">
      <alignment vertical="bottom" wrapText="1"/>
    </xf>
    <xf numFmtId="0" fontId="1" fillId="0" borderId="7" xfId="0" applyBorder="1" applyAlignment="1">
      <alignment horizontal="center" vertical="center"/>
    </xf>
    <xf numFmtId="9" fontId="1" fillId="5" borderId="2" xfId="3" applyFont="1" applyFill="1" applyBorder="1" applyAlignment="1">
      <alignment vertical="bottom"/>
    </xf>
    <xf numFmtId="0" fontId="1" fillId="6" borderId="2" xfId="0" applyFill="1" applyBorder="1" applyAlignment="1">
      <alignment vertical="bottom"/>
    </xf>
    <xf numFmtId="9" fontId="1" fillId="6" borderId="2" xfId="0" applyNumberFormat="1" applyFill="1" applyBorder="1" applyAlignment="1">
      <alignment vertical="bottom"/>
    </xf>
    <xf numFmtId="0" fontId="1" fillId="0" borderId="6" xfId="0" applyBorder="1" applyAlignment="1">
      <alignment horizontal="center" vertical="center"/>
    </xf>
    <xf numFmtId="0" fontId="1" fillId="0" borderId="8" xfId="0" applyBorder="1" applyAlignment="1">
      <alignment horizontal="center" vertical="center"/>
    </xf>
    <xf numFmtId="0" fontId="1" fillId="0" borderId="8" xfId="0" applyBorder="1" applyAlignment="1">
      <alignment horizontal="center" vertical="center"/>
    </xf>
    <xf numFmtId="9" fontId="1" fillId="5" borderId="2" xfId="0" applyNumberFormat="1" applyFill="1" applyBorder="1" applyAlignment="1">
      <alignment vertical="bottom"/>
    </xf>
    <xf numFmtId="0" fontId="1" fillId="0" borderId="2" xfId="3" applyNumberFormat="1" applyFont="1" applyFill="1" applyBorder="1" applyAlignment="1">
      <alignment vertical="bottom"/>
    </xf>
    <xf numFmtId="0" fontId="1" fillId="0" borderId="2" xfId="0" applyFill="1" applyBorder="1" applyAlignment="1">
      <alignment vertical="bottom"/>
    </xf>
    <xf numFmtId="0" fontId="1" fillId="0" borderId="7" xfId="0" applyBorder="1" applyAlignment="1">
      <alignment vertical="center" wrapText="1"/>
    </xf>
    <xf numFmtId="0" fontId="1" fillId="0" borderId="6" xfId="0" applyBorder="1" applyAlignment="1">
      <alignment vertical="center" wrapText="1"/>
    </xf>
    <xf numFmtId="0" fontId="1" fillId="0" borderId="8" xfId="0" applyBorder="1" applyAlignment="1">
      <alignment vertical="center" wrapText="1"/>
    </xf>
    <xf numFmtId="0" fontId="1" fillId="0" borderId="0" xfId="0" applyAlignment="1">
      <alignment horizontal="center" vertical="bottom"/>
    </xf>
    <xf numFmtId="0" fontId="8" fillId="0" borderId="3" xfId="0" applyFont="1" applyBorder="1" applyAlignment="1">
      <alignment horizontal="center" vertical="bottom"/>
    </xf>
    <xf numFmtId="0" fontId="8" fillId="0" borderId="4" xfId="0" applyFont="1" applyBorder="1" applyAlignment="1">
      <alignment horizontal="center" vertical="bottom"/>
    </xf>
    <xf numFmtId="0" fontId="8" fillId="0" borderId="5" xfId="0" applyFont="1" applyBorder="1" applyAlignment="1">
      <alignment horizontal="center" vertical="bottom"/>
    </xf>
    <xf numFmtId="0" fontId="62" fillId="9" borderId="7" xfId="0" applyFont="1" applyFill="1" applyBorder="1">
      <alignment vertical="center"/>
    </xf>
    <xf numFmtId="9" fontId="62" fillId="6" borderId="2" xfId="0" applyNumberFormat="1" applyFont="1" applyFill="1" applyBorder="1" applyAlignment="1">
      <alignment vertical="bottom"/>
    </xf>
    <xf numFmtId="0" fontId="62" fillId="9" borderId="8" xfId="0" applyFont="1" applyFill="1" applyBorder="1">
      <alignment vertical="center"/>
    </xf>
    <xf numFmtId="0" fontId="26" fillId="0" borderId="3" xfId="0" applyFont="1" applyFill="1" applyBorder="1" applyAlignment="1">
      <alignment horizontal="center" vertical="bottom"/>
    </xf>
    <xf numFmtId="0" fontId="26" fillId="0" borderId="4" xfId="0" applyFont="1" applyFill="1" applyBorder="1" applyAlignment="1">
      <alignment horizontal="center" vertical="bottom"/>
    </xf>
    <xf numFmtId="0" fontId="26" fillId="0" borderId="5" xfId="0" applyFont="1" applyFill="1" applyBorder="1" applyAlignment="1">
      <alignment horizontal="center" vertical="bottom"/>
    </xf>
    <xf numFmtId="0" fontId="62" fillId="9" borderId="7" xfId="0" applyFont="1" applyFill="1" applyBorder="1" applyAlignment="1">
      <alignment horizontal="left" vertical="center"/>
    </xf>
    <xf numFmtId="9" fontId="62" fillId="6" borderId="2" xfId="0" applyNumberFormat="1" applyFont="1" applyFill="1" applyBorder="1" applyAlignment="1">
      <alignment horizontal="center" vertical="bottom"/>
    </xf>
    <xf numFmtId="0" fontId="62" fillId="9" borderId="8" xfId="0" applyFont="1" applyFill="1" applyBorder="1" applyAlignment="1">
      <alignment horizontal="left" vertical="center"/>
    </xf>
    <xf numFmtId="0" fontId="1" fillId="0" borderId="0" xfId="0" applyBorder="1" applyAlignment="1">
      <alignment vertical="bottom"/>
    </xf>
    <xf numFmtId="0" fontId="25" fillId="0" borderId="3" xfId="0" applyFont="1" applyFill="1" applyBorder="1" applyAlignment="1">
      <alignment horizontal="center" vertical="bottom"/>
    </xf>
    <xf numFmtId="0" fontId="25" fillId="0" borderId="4" xfId="0" applyFont="1" applyFill="1" applyBorder="1" applyAlignment="1">
      <alignment horizontal="center" vertical="bottom"/>
    </xf>
    <xf numFmtId="0" fontId="25" fillId="0" borderId="5" xfId="0" applyFont="1" applyFill="1" applyBorder="1" applyAlignment="1">
      <alignment horizontal="center" vertical="bottom"/>
    </xf>
    <xf numFmtId="0" fontId="63" fillId="9" borderId="7" xfId="0" applyFont="1" applyFill="1" applyBorder="1" applyAlignment="1">
      <alignment horizontal="left" vertical="center"/>
    </xf>
    <xf numFmtId="9" fontId="63" fillId="6" borderId="2" xfId="0" applyNumberFormat="1" applyFont="1" applyFill="1" applyBorder="1" applyAlignment="1">
      <alignment vertical="bottom"/>
    </xf>
    <xf numFmtId="170" fontId="63" fillId="6" borderId="2" xfId="0" applyNumberFormat="1" applyFont="1" applyFill="1" applyBorder="1" applyAlignment="1">
      <alignment vertical="bottom"/>
    </xf>
    <xf numFmtId="0" fontId="63" fillId="9" borderId="8" xfId="0" applyFont="1" applyFill="1" applyBorder="1" applyAlignment="1">
      <alignment horizontal="left" vertical="center"/>
    </xf>
    <xf numFmtId="0" fontId="1" fillId="0" borderId="2" xfId="0" applyNumberFormat="1" applyBorder="1" applyAlignment="1">
      <alignment vertical="bottom"/>
    </xf>
    <xf numFmtId="0" fontId="1" fillId="0" borderId="0" xfId="0" applyAlignment="1">
      <alignment horizontal="center" vertical="bottom"/>
    </xf>
    <xf numFmtId="0" fontId="5" fillId="0" borderId="8" xfId="0" applyFont="1" applyBorder="1" applyAlignment="1">
      <alignment horizontal="center" vertical="center"/>
    </xf>
    <xf numFmtId="0" fontId="1" fillId="5" borderId="2" xfId="3" applyNumberFormat="1" applyFont="1" applyFill="1" applyBorder="1" applyAlignment="1">
      <alignment vertical="bottom"/>
    </xf>
    <xf numFmtId="0" fontId="5" fillId="0" borderId="2" xfId="0" applyFont="1" applyBorder="1" applyAlignment="1">
      <alignment horizontal="center" vertical="center" wrapText="1"/>
    </xf>
    <xf numFmtId="0" fontId="1" fillId="0" borderId="2" xfId="0" applyNumberFormat="1" applyFill="1" applyBorder="1" applyAlignment="1">
      <alignment vertical="bottom"/>
    </xf>
    <xf numFmtId="0" fontId="1" fillId="0" borderId="0" xfId="0" applyAlignment="1">
      <alignment horizontal="center" vertical="bottom"/>
    </xf>
    <xf numFmtId="0" fontId="17" fillId="5" borderId="0" xfId="0" applyFont="1" applyFill="1" applyAlignment="1">
      <alignment vertical="bottom"/>
    </xf>
    <xf numFmtId="0" fontId="17" fillId="6" borderId="0" xfId="0" applyFont="1" applyFill="1" applyAlignment="1">
      <alignment vertical="bottom"/>
    </xf>
    <xf numFmtId="9" fontId="1" fillId="0" borderId="2" xfId="0" applyNumberFormat="1" applyBorder="1" applyAlignment="1">
      <alignment vertical="bottom"/>
    </xf>
    <xf numFmtId="0" fontId="1" fillId="0" borderId="2" xfId="0" applyBorder="1" applyAlignment="1">
      <alignment vertical="bottom" wrapText="1"/>
    </xf>
    <xf numFmtId="165" fontId="17" fillId="0" borderId="2" xfId="0" applyNumberFormat="1" applyFont="1" applyFill="1" applyBorder="1" applyAlignment="1">
      <alignment vertical="bottom"/>
    </xf>
    <xf numFmtId="167" fontId="18" fillId="0" borderId="2" xfId="2" applyNumberFormat="1" applyFont="1" applyBorder="1" applyAlignment="1">
      <alignment vertical="bottom"/>
    </xf>
    <xf numFmtId="0" fontId="18" fillId="6" borderId="2" xfId="0" applyFont="1" applyFill="1" applyBorder="1" applyAlignment="1">
      <alignment vertical="bottom"/>
    </xf>
    <xf numFmtId="9" fontId="18" fillId="6" borderId="2" xfId="3" applyFont="1" applyFill="1" applyBorder="1" applyAlignment="1">
      <alignment vertical="bottom"/>
    </xf>
    <xf numFmtId="167" fontId="18" fillId="6" borderId="2" xfId="2" applyNumberFormat="1" applyFont="1" applyFill="1" applyBorder="1" applyAlignment="1">
      <alignment vertical="bottom"/>
    </xf>
    <xf numFmtId="167" fontId="17" fillId="0" borderId="2" xfId="3" applyNumberFormat="1" applyFont="1" applyBorder="1" applyAlignment="1">
      <alignment vertical="bottom"/>
    </xf>
    <xf numFmtId="0" fontId="1" fillId="0" borderId="0" xfId="0" applyAlignment="1">
      <alignment horizontal="center" vertical="bottom"/>
    </xf>
    <xf numFmtId="0" fontId="17" fillId="0" borderId="0" xfId="0" applyFont="1" applyFill="1" applyBorder="1" applyAlignment="1">
      <alignment vertical="bottom"/>
    </xf>
    <xf numFmtId="0" fontId="5" fillId="0" borderId="0" xfId="0" applyFont="1" applyBorder="1" applyAlignment="1">
      <alignment horizontal="center" vertical="bottom"/>
    </xf>
    <xf numFmtId="0" fontId="18" fillId="0" borderId="0" xfId="0" applyFont="1" applyBorder="1" applyAlignment="1">
      <alignment horizontal="center" vertical="bottom"/>
    </xf>
    <xf numFmtId="9" fontId="18" fillId="0" borderId="0" xfId="0" applyNumberFormat="1" applyFont="1" applyBorder="1" applyAlignment="1">
      <alignment horizontal="center" vertical="bottom"/>
    </xf>
    <xf numFmtId="10" fontId="18" fillId="0" borderId="0" xfId="0" applyNumberFormat="1" applyFont="1" applyBorder="1" applyAlignment="1">
      <alignment horizontal="center" vertical="bottom"/>
    </xf>
    <xf numFmtId="169" fontId="18" fillId="5" borderId="2" xfId="1" applyNumberFormat="1" applyFont="1" applyFill="1" applyBorder="1" applyAlignment="1">
      <alignment vertical="bottom"/>
    </xf>
    <xf numFmtId="167" fontId="17" fillId="0" borderId="2" xfId="0" applyNumberFormat="1" applyFont="1" applyBorder="1" applyAlignment="1">
      <alignment vertical="bottom"/>
    </xf>
    <xf numFmtId="171" fontId="18" fillId="5" borderId="2" xfId="0" applyNumberFormat="1" applyFont="1" applyFill="1" applyBorder="1" applyAlignment="1">
      <alignment vertical="bottom"/>
    </xf>
    <xf numFmtId="167" fontId="18" fillId="0" borderId="2" xfId="0" applyNumberFormat="1" applyFont="1" applyBorder="1" applyAlignment="1">
      <alignment vertical="bottom"/>
    </xf>
    <xf numFmtId="165" fontId="17" fillId="0" borderId="0" xfId="0" applyNumberFormat="1" applyFont="1" applyAlignment="1">
      <alignment vertical="bottom"/>
    </xf>
    <xf numFmtId="1" fontId="17" fillId="0" borderId="2" xfId="0" applyNumberFormat="1" applyFont="1" applyBorder="1" applyAlignment="1">
      <alignment vertical="bottom"/>
    </xf>
    <xf numFmtId="0" fontId="17" fillId="6" borderId="2" xfId="0" applyFont="1" applyFill="1" applyBorder="1" applyAlignment="1">
      <alignment vertical="bottom"/>
    </xf>
    <xf numFmtId="9" fontId="17" fillId="0" borderId="2" xfId="0" applyNumberFormat="1" applyFont="1" applyFill="1" applyBorder="1" applyAlignment="1">
      <alignment vertical="bottom"/>
    </xf>
    <xf numFmtId="165" fontId="17" fillId="0" borderId="2" xfId="0" applyNumberFormat="1" applyFont="1" applyBorder="1" applyAlignment="1">
      <alignment vertical="bottom"/>
    </xf>
    <xf numFmtId="0" fontId="17" fillId="0" borderId="0" xfId="0" applyFont="1" applyBorder="1" applyAlignment="1">
      <alignment vertical="bottom"/>
    </xf>
    <xf numFmtId="169" fontId="17" fillId="0" borderId="0" xfId="1" applyNumberFormat="1" applyFont="1" applyBorder="1" applyAlignment="1">
      <alignment vertical="bottom"/>
    </xf>
    <xf numFmtId="0" fontId="5" fillId="0" borderId="0" xfId="0" applyFont="1" applyAlignment="1">
      <alignment horizontal="center" vertical="bottom"/>
    </xf>
    <xf numFmtId="0" fontId="5" fillId="0" borderId="0" xfId="0" applyFont="1" applyAlignment="1">
      <alignment horizontal="center" vertical="bottom"/>
    </xf>
    <xf numFmtId="0" fontId="18" fillId="0" borderId="0" xfId="0" applyFont="1" applyAlignment="1">
      <alignment horizontal="center" vertical="bottom"/>
    </xf>
    <xf numFmtId="9" fontId="18" fillId="0" borderId="0" xfId="0" applyNumberFormat="1" applyFont="1" applyAlignment="1">
      <alignment horizontal="center" vertical="bottom"/>
    </xf>
    <xf numFmtId="10" fontId="18" fillId="0" borderId="0" xfId="0" applyNumberFormat="1" applyFont="1" applyAlignment="1">
      <alignment horizontal="center" vertical="bottom"/>
    </xf>
    <xf numFmtId="169" fontId="1" fillId="0" borderId="3" xfId="1" applyNumberFormat="1" applyFont="1" applyBorder="1" applyAlignment="1">
      <alignment vertical="bottom"/>
    </xf>
    <xf numFmtId="0" fontId="17" fillId="5" borderId="2" xfId="0" applyFont="1" applyFill="1" applyBorder="1" applyAlignment="1">
      <alignment vertical="bottom" wrapText="1"/>
    </xf>
    <xf numFmtId="169" fontId="17" fillId="0" borderId="2" xfId="1" applyNumberFormat="1" applyFont="1" applyFill="1" applyBorder="1" applyAlignment="1">
      <alignment vertical="bottom"/>
    </xf>
    <xf numFmtId="0" fontId="18" fillId="0" borderId="2" xfId="0" applyFont="1" applyBorder="1" applyAlignment="1">
      <alignment vertical="bottom" wrapText="1"/>
    </xf>
    <xf numFmtId="0" fontId="8" fillId="0" borderId="0" xfId="0" applyFont="1" applyFill="1" applyBorder="1" applyAlignment="1">
      <alignment horizontal="center" vertical="bottom"/>
    </xf>
    <xf numFmtId="43" fontId="17" fillId="5" borderId="0" xfId="0" applyNumberFormat="1" applyFont="1" applyFill="1" applyBorder="1" applyAlignment="1">
      <alignment vertical="bottom"/>
    </xf>
    <xf numFmtId="43" fontId="17" fillId="0" borderId="0" xfId="0" applyNumberFormat="1" applyFont="1" applyBorder="1" applyAlignment="1">
      <alignment vertical="bottom"/>
    </xf>
    <xf numFmtId="165" fontId="17" fillId="0" borderId="0" xfId="0" applyNumberFormat="1" applyFont="1" applyBorder="1" applyAlignment="1">
      <alignment vertical="bottom"/>
    </xf>
    <xf numFmtId="1" fontId="17" fillId="0" borderId="0" xfId="0" applyNumberFormat="1" applyFont="1" applyBorder="1" applyAlignment="1">
      <alignment vertical="bottom"/>
    </xf>
    <xf numFmtId="0" fontId="5" fillId="0" borderId="0" xfId="0" applyFont="1" applyAlignment="1">
      <alignment horizontal="center" vertical="bottom"/>
    </xf>
    <xf numFmtId="0" fontId="5" fillId="0" borderId="0" xfId="0" applyFont="1" applyAlignment="1">
      <alignment horizontal="center" vertical="bottom"/>
    </xf>
    <xf numFmtId="0" fontId="62" fillId="9" borderId="6" xfId="0" applyFont="1" applyFill="1" applyBorder="1" applyAlignment="1">
      <alignment vertical="bottom" wrapText="1"/>
    </xf>
    <xf numFmtId="0" fontId="1" fillId="0" borderId="2" xfId="0" applyBorder="1" applyAlignment="1">
      <alignment horizontal="center" vertical="bottom"/>
    </xf>
    <xf numFmtId="0" fontId="1" fillId="0" borderId="0" xfId="0" applyFill="1" applyBorder="1" applyAlignment="1">
      <alignment vertical="bottom"/>
    </xf>
    <xf numFmtId="0" fontId="17" fillId="0" borderId="2" xfId="0" applyFont="1" applyFill="1" applyBorder="1" applyAlignment="1">
      <alignment vertical="bottom" wrapText="1"/>
    </xf>
    <xf numFmtId="169" fontId="17" fillId="5" borderId="2" xfId="1" applyNumberFormat="1" applyFont="1" applyFill="1" applyBorder="1" applyAlignment="1">
      <alignment vertical="bottom" wrapText="1"/>
    </xf>
    <xf numFmtId="0" fontId="18" fillId="0" borderId="0" xfId="0" applyFont="1" applyBorder="1" applyAlignment="1">
      <alignment vertical="bottom"/>
    </xf>
    <xf numFmtId="169" fontId="18" fillId="0" borderId="0" xfId="1" applyNumberFormat="1" applyFont="1" applyBorder="1" applyAlignment="1">
      <alignment vertical="bottom"/>
    </xf>
    <xf numFmtId="167" fontId="17" fillId="0" borderId="2" xfId="2" applyNumberFormat="1" applyFont="1" applyFill="1" applyBorder="1" applyAlignment="1">
      <alignment vertical="bottom"/>
    </xf>
    <xf numFmtId="167" fontId="17" fillId="5" borderId="2" xfId="2" applyNumberFormat="1" applyFont="1" applyFill="1" applyBorder="1" applyAlignment="1">
      <alignment vertical="bottom"/>
    </xf>
    <xf numFmtId="167" fontId="17" fillId="0" borderId="2" xfId="0" applyNumberFormat="1" applyFont="1" applyFill="1" applyBorder="1" applyAlignment="1">
      <alignment vertical="bottom"/>
    </xf>
    <xf numFmtId="0" fontId="5" fillId="0" borderId="0" xfId="0" applyFont="1" applyAlignment="1">
      <alignment horizontal="center" vertical="bottom"/>
    </xf>
    <xf numFmtId="167" fontId="17" fillId="0" borderId="0" xfId="0" applyNumberFormat="1" applyFont="1" applyAlignment="1">
      <alignment vertical="bottom"/>
    </xf>
    <xf numFmtId="169" fontId="17" fillId="0" borderId="5" xfId="1" applyNumberFormat="1" applyFont="1" applyBorder="1" applyAlignment="1">
      <alignment vertical="bottom"/>
    </xf>
    <xf numFmtId="169" fontId="18" fillId="0" borderId="2" xfId="1" applyNumberFormat="1" applyFont="1" applyBorder="1" applyAlignment="1">
      <alignment vertical="bottom" wrapText="1"/>
    </xf>
    <xf numFmtId="0" fontId="5" fillId="0" borderId="0" xfId="0" applyFont="1" applyAlignment="1">
      <alignment horizontal="center" vertical="bottom"/>
    </xf>
    <xf numFmtId="0" fontId="18" fillId="0" borderId="0" xfId="0" applyFont="1" applyAlignment="1">
      <alignment horizontal="center" vertical="bottom"/>
    </xf>
  </cellXfs>
  <cellStyles count="8">
    <cellStyle name="常规" xfId="0" builtinId="0"/>
    <cellStyle name="千位分隔" xfId="1" builtinId="3"/>
    <cellStyle name="Comma 2" xfId="2"/>
    <cellStyle name="百分比" xfId="3" builtinId="5"/>
    <cellStyle name="Normal 3" xfId="4"/>
    <cellStyle name="Hyperlink" xfId="5"/>
    <cellStyle name="Currency 3" xfId="6"/>
    <cellStyle name="Comma 2 2" xfId="7"/>
  </cellStyles>
  <dxfs count="4">
    <dxf>
      <font>
        <sz val="11"/>
        <color rgb="FF9C0006"/>
      </font>
      <fill>
        <patternFill>
          <bgColor rgb="FFFFC7CE"/>
        </patternFill>
      </fill>
    </dxf>
    <dxf>
      <font>
        <sz val="11"/>
        <color rgb="FFFF0000"/>
      </font>
    </dxf>
    <dxf>
      <font>
        <sz val="11"/>
        <color rgb="FFFF0000"/>
      </font>
    </dxf>
    <dxf>
      <font>
        <sz val="11"/>
        <color rgb="FFFF0000"/>
      </font>
    </dxf>
  </dxfs>
</styleSheet>
</file>

<file path=xl/_rels/workbook.xml.rels><?xml version="1.0" encoding="UTF-8" standalone="yes"?>
<Relationships xmlns="http://schemas.openxmlformats.org/package/2006/relationships"><Relationship Id="rId1" Type="http://schemas.openxmlformats.org/officeDocument/2006/relationships/externalLink" Target="externalLinks/externalLink1.xml"/><Relationship Id="rId2" Type="http://schemas.openxmlformats.org/officeDocument/2006/relationships/externalLink" Target="externalLinks/externalLink2.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www.wps.cn/officeDocument/2020/cellImage" Target="cellimages.xml"/><Relationship Id="rId22" Type="http://schemas.openxmlformats.org/officeDocument/2006/relationships/sharedStrings" Target="sharedStrings.xml"/><Relationship Id="rId23" Type="http://schemas.openxmlformats.org/officeDocument/2006/relationships/styles" Target="styles.xml"/><Relationship Id="rId2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Users/Nikhil/Desktop/VISHVJEET/Chaskarji/Dharti%2520FPC/Dharti%25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Users/Nikhil/Desktop/VISHVJEET/Chaskarji/Water/kRUSHIYUG/Krushiyug%2520FPC.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51">
          <cell r="B51" t="str">
            <v>Output (Ltrs/KG)</v>
          </cell>
        </row>
      </sheetData>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s>
</file>

<file path=xl/worksheets/sheet1.xml><?xml version="1.0" encoding="utf-8"?>
<worksheet xmlns:r="http://schemas.openxmlformats.org/officeDocument/2006/relationships" xmlns="http://schemas.openxmlformats.org/spreadsheetml/2006/main">
  <dimension ref="A1:F37"/>
  <sheetViews>
    <sheetView workbookViewId="0">
      <selection activeCell="I27" sqref="I27"/>
    </sheetView>
  </sheetViews>
  <sheetFormatPr defaultRowHeight="15.0" defaultColWidth="9"/>
  <cols>
    <col min="1" max="1" customWidth="1" width="12.855469" style="1"/>
    <col min="2" max="2" customWidth="1" width="56.0" style="1"/>
    <col min="3" max="3" customWidth="1" width="26.140625" style="1"/>
    <col min="4" max="4" customWidth="1" width="20.855469" style="1"/>
    <col min="5" max="5" customWidth="1" width="29.425781" style="1"/>
    <col min="6" max="16384" customWidth="0" width="9.140625" style="1"/>
  </cols>
  <sheetData>
    <row r="1" spans="8:8" ht="26.25" customHeight="1">
      <c r="A1" s="2" t="s">
        <v>667</v>
      </c>
      <c r="B1" s="2"/>
      <c r="C1" s="2"/>
      <c r="D1" s="2"/>
      <c r="E1" s="2"/>
    </row>
    <row r="2" spans="8:8" ht="26.25" customHeight="1">
      <c r="A2" s="3" t="s">
        <v>663</v>
      </c>
      <c r="B2" s="3"/>
      <c r="C2" s="3"/>
      <c r="D2" s="3"/>
      <c r="E2" s="3"/>
    </row>
    <row r="3" spans="8:8" ht="23.25" customHeight="1">
      <c r="A3" s="4" t="s">
        <v>634</v>
      </c>
      <c r="B3" s="4"/>
      <c r="C3" s="4"/>
      <c r="D3" s="4"/>
      <c r="E3" s="4"/>
    </row>
    <row r="4" spans="8:8" ht="240.75" customHeight="1">
      <c r="A4" s="5" t="s">
        <v>668</v>
      </c>
      <c r="B4" s="5"/>
      <c r="C4" s="5"/>
      <c r="D4" s="5"/>
      <c r="E4" s="5"/>
    </row>
    <row r="5" spans="8:8" ht="23.25" customHeight="1">
      <c r="A5" s="4" t="s">
        <v>635</v>
      </c>
      <c r="B5" s="4"/>
      <c r="C5" s="4"/>
      <c r="D5" s="4"/>
      <c r="E5" s="4"/>
    </row>
    <row r="6" spans="8:8" ht="108.0" customHeight="1">
      <c r="A6" s="6" t="s">
        <v>706</v>
      </c>
      <c r="B6" s="7"/>
      <c r="C6" s="7"/>
      <c r="D6" s="7"/>
      <c r="E6" s="8"/>
    </row>
    <row r="7" spans="8:8" ht="23.25" customHeight="1">
      <c r="A7" s="9" t="s">
        <v>669</v>
      </c>
      <c r="B7" s="9"/>
      <c r="C7" s="9"/>
      <c r="D7" s="9"/>
      <c r="E7" s="9"/>
    </row>
    <row r="8" spans="8:8" ht="125.25" customHeight="1">
      <c r="A8" s="5" t="s">
        <v>705</v>
      </c>
      <c r="B8" s="5"/>
      <c r="C8" s="5"/>
      <c r="D8" s="5"/>
      <c r="E8" s="5"/>
    </row>
    <row r="9" spans="8:8" ht="23.25">
      <c r="A9" s="4" t="s">
        <v>660</v>
      </c>
      <c r="B9" s="4"/>
      <c r="C9" s="4"/>
      <c r="D9" s="4"/>
      <c r="E9" s="4"/>
    </row>
    <row r="10" spans="8:8">
      <c r="A10" s="1" t="s">
        <v>636</v>
      </c>
      <c r="B10" s="1" t="s">
        <v>150</v>
      </c>
    </row>
    <row r="11" spans="8:8" ht="20.25" customHeight="1">
      <c r="A11" s="10"/>
      <c r="B11" s="11" t="s">
        <v>413</v>
      </c>
      <c r="C11" s="12"/>
      <c r="D11" s="12"/>
      <c r="E11" s="13"/>
    </row>
    <row r="12" spans="8:8">
      <c r="A12" s="14"/>
      <c r="B12" s="15" t="s">
        <v>414</v>
      </c>
      <c r="C12" s="15"/>
      <c r="D12" s="15"/>
      <c r="E12" s="15"/>
    </row>
    <row r="13" spans="8:8" s="16" ht="15.0" customFormat="1">
      <c r="A13" s="17"/>
      <c r="B13" s="17"/>
      <c r="C13" s="17"/>
      <c r="D13" s="17"/>
      <c r="E13" s="18"/>
    </row>
    <row r="14" spans="8:8" ht="23.25">
      <c r="A14" s="4" t="s">
        <v>661</v>
      </c>
      <c r="B14" s="4"/>
      <c r="C14" s="4"/>
      <c r="D14" s="4"/>
      <c r="E14" s="4"/>
    </row>
    <row r="15" spans="8:8">
      <c r="A15" s="19" t="s">
        <v>632</v>
      </c>
      <c r="B15" s="19" t="s">
        <v>670</v>
      </c>
      <c r="C15" s="19" t="s">
        <v>466</v>
      </c>
      <c r="D15" s="19" t="s">
        <v>640</v>
      </c>
      <c r="E15" s="19" t="s">
        <v>633</v>
      </c>
    </row>
    <row r="16" spans="8:8">
      <c r="A16" s="20" t="s">
        <v>173</v>
      </c>
      <c r="B16" s="20" t="s">
        <v>671</v>
      </c>
      <c r="C16" s="20"/>
      <c r="D16" s="20"/>
      <c r="E16" s="20"/>
    </row>
    <row r="17" spans="8:8" ht="60.0">
      <c r="A17" s="21" t="s">
        <v>650</v>
      </c>
      <c r="B17" s="22" t="s">
        <v>657</v>
      </c>
      <c r="C17" s="22" t="s">
        <v>702</v>
      </c>
      <c r="D17" s="22" t="s">
        <v>672</v>
      </c>
      <c r="E17" s="22"/>
    </row>
    <row r="18" spans="8:8" ht="90.0">
      <c r="A18" s="21" t="s">
        <v>651</v>
      </c>
      <c r="B18" s="22" t="s">
        <v>637</v>
      </c>
      <c r="C18" s="22" t="s">
        <v>703</v>
      </c>
      <c r="D18" s="22" t="s">
        <v>673</v>
      </c>
      <c r="E18" s="22"/>
    </row>
    <row r="19" spans="8:8" ht="26.25" customHeight="1">
      <c r="A19" s="21" t="s">
        <v>652</v>
      </c>
      <c r="B19" s="23" t="s">
        <v>664</v>
      </c>
      <c r="C19" s="22" t="s">
        <v>674</v>
      </c>
      <c r="D19" s="22" t="s">
        <v>675</v>
      </c>
      <c r="E19" s="22" t="s">
        <v>662</v>
      </c>
    </row>
    <row r="20" spans="8:8" ht="30.0">
      <c r="A20" s="21" t="s">
        <v>653</v>
      </c>
      <c r="B20" s="22" t="s">
        <v>704</v>
      </c>
      <c r="C20" s="22"/>
      <c r="D20" s="22"/>
      <c r="E20" s="22"/>
    </row>
    <row r="21" spans="8:8">
      <c r="A21" s="22">
        <v>4.1</v>
      </c>
      <c r="B21" s="22" t="s">
        <v>644</v>
      </c>
      <c r="C21" s="24" t="s">
        <v>676</v>
      </c>
      <c r="D21" s="22" t="s">
        <v>677</v>
      </c>
      <c r="E21" s="22"/>
    </row>
    <row r="22" spans="8:8" ht="30.0">
      <c r="A22" s="22">
        <v>4.2</v>
      </c>
      <c r="B22" s="22" t="s">
        <v>648</v>
      </c>
      <c r="C22" s="25"/>
      <c r="D22" s="22" t="s">
        <v>678</v>
      </c>
      <c r="E22" s="22"/>
    </row>
    <row r="23" spans="8:8">
      <c r="A23" s="22">
        <v>4.3</v>
      </c>
      <c r="B23" s="22" t="s">
        <v>645</v>
      </c>
      <c r="C23" s="25"/>
      <c r="D23" s="22" t="s">
        <v>679</v>
      </c>
      <c r="E23" s="22"/>
    </row>
    <row r="24" spans="8:8">
      <c r="A24" s="22">
        <v>4.4</v>
      </c>
      <c r="B24" s="22" t="s">
        <v>646</v>
      </c>
      <c r="C24" s="25"/>
      <c r="D24" s="22" t="s">
        <v>680</v>
      </c>
      <c r="E24" s="22"/>
    </row>
    <row r="25" spans="8:8">
      <c r="A25" s="22">
        <v>4.5</v>
      </c>
      <c r="B25" s="22" t="s">
        <v>647</v>
      </c>
      <c r="C25" s="25"/>
      <c r="D25" s="22" t="s">
        <v>681</v>
      </c>
      <c r="E25" s="22"/>
    </row>
    <row r="26" spans="8:8">
      <c r="A26" s="22">
        <v>4.6</v>
      </c>
      <c r="B26" s="22" t="s">
        <v>649</v>
      </c>
      <c r="C26" s="26"/>
      <c r="D26" s="22" t="s">
        <v>682</v>
      </c>
      <c r="E26" s="22"/>
    </row>
    <row r="27" spans="8:8" ht="45.0">
      <c r="A27" s="21" t="s">
        <v>654</v>
      </c>
      <c r="B27" s="22" t="s">
        <v>638</v>
      </c>
      <c r="C27" s="22" t="s">
        <v>683</v>
      </c>
      <c r="D27" s="22" t="s">
        <v>708</v>
      </c>
      <c r="E27" s="22"/>
    </row>
    <row r="28" spans="8:8" ht="60.0">
      <c r="A28" s="21" t="s">
        <v>655</v>
      </c>
      <c r="B28" s="22" t="s">
        <v>684</v>
      </c>
      <c r="C28" s="22" t="s">
        <v>685</v>
      </c>
      <c r="D28" s="22" t="s">
        <v>686</v>
      </c>
      <c r="E28" s="22"/>
    </row>
    <row r="29" spans="8:8" ht="45.0">
      <c r="A29" s="21" t="s">
        <v>656</v>
      </c>
      <c r="B29" s="22" t="s">
        <v>639</v>
      </c>
      <c r="C29" s="22" t="s">
        <v>687</v>
      </c>
      <c r="D29" s="22" t="s">
        <v>688</v>
      </c>
      <c r="E29" s="22"/>
    </row>
    <row r="30" spans="8:8">
      <c r="A30" s="20" t="s">
        <v>174</v>
      </c>
      <c r="B30" s="27" t="s">
        <v>689</v>
      </c>
      <c r="C30" s="20"/>
      <c r="D30" s="20"/>
      <c r="E30" s="20"/>
    </row>
    <row r="31" spans="8:8" ht="26.25" customHeight="1">
      <c r="A31" s="28" t="s">
        <v>690</v>
      </c>
      <c r="B31" s="22" t="s">
        <v>641</v>
      </c>
      <c r="C31" s="22"/>
      <c r="D31" s="22" t="s">
        <v>691</v>
      </c>
      <c r="E31" s="22" t="s">
        <v>662</v>
      </c>
    </row>
    <row r="32" spans="8:8">
      <c r="A32" s="28" t="s">
        <v>692</v>
      </c>
      <c r="B32" s="22" t="s">
        <v>642</v>
      </c>
      <c r="C32" s="22"/>
      <c r="D32" s="22" t="s">
        <v>693</v>
      </c>
      <c r="E32" s="22" t="s">
        <v>662</v>
      </c>
    </row>
    <row r="33" spans="8:8">
      <c r="A33" s="28" t="s">
        <v>694</v>
      </c>
      <c r="B33" s="22" t="s">
        <v>643</v>
      </c>
      <c r="C33" s="22"/>
      <c r="D33" s="22" t="s">
        <v>695</v>
      </c>
      <c r="E33" s="22" t="s">
        <v>662</v>
      </c>
    </row>
    <row r="34" spans="8:8" ht="35.25" customHeight="1">
      <c r="A34" s="28" t="s">
        <v>696</v>
      </c>
      <c r="B34" s="22" t="s">
        <v>658</v>
      </c>
      <c r="C34" s="22"/>
      <c r="D34" s="22" t="s">
        <v>697</v>
      </c>
      <c r="E34" s="22" t="s">
        <v>662</v>
      </c>
    </row>
    <row r="35" spans="8:8" ht="35.25" customHeight="1">
      <c r="A35" s="28" t="s">
        <v>698</v>
      </c>
      <c r="B35" s="22" t="s">
        <v>699</v>
      </c>
      <c r="C35" s="22"/>
      <c r="D35" s="22" t="s">
        <v>707</v>
      </c>
      <c r="E35" s="22" t="s">
        <v>662</v>
      </c>
    </row>
    <row r="36" spans="8:8">
      <c r="A36" s="21" t="s">
        <v>700</v>
      </c>
      <c r="B36" s="22" t="s">
        <v>701</v>
      </c>
      <c r="C36" s="22"/>
      <c r="D36" s="22"/>
      <c r="E36" s="22"/>
    </row>
    <row r="37" spans="8:8" ht="21.0">
      <c r="A37" s="29"/>
      <c r="B37" s="29"/>
      <c r="C37" s="29"/>
      <c r="D37" s="29"/>
      <c r="E37" s="29"/>
    </row>
  </sheetData>
  <mergeCells count="15">
    <mergeCell ref="A37:E37"/>
    <mergeCell ref="C21:C26"/>
    <mergeCell ref="A1:E1"/>
    <mergeCell ref="A13:E13"/>
    <mergeCell ref="B12:E12"/>
    <mergeCell ref="A4:E4"/>
    <mergeCell ref="A7:E7"/>
    <mergeCell ref="A8:E8"/>
    <mergeCell ref="A9:E9"/>
    <mergeCell ref="B11:E11"/>
    <mergeCell ref="A14:E14"/>
    <mergeCell ref="A2:E2"/>
    <mergeCell ref="A6:E6"/>
    <mergeCell ref="A5:E5"/>
    <mergeCell ref="A3:E3"/>
  </mergeCells>
  <pageMargins left="0.7" right="0.7" top="0.75" bottom="0.75" header="0.3" footer="0.3"/>
</worksheet>
</file>

<file path=xl/worksheets/sheet10.xml><?xml version="1.0" encoding="utf-8"?>
<worksheet xmlns:r="http://schemas.openxmlformats.org/officeDocument/2006/relationships" xmlns="http://schemas.openxmlformats.org/spreadsheetml/2006/main">
  <dimension ref="B4:T184"/>
  <sheetViews>
    <sheetView workbookViewId="0" topLeftCell="A172" zoomScale="80">
      <selection activeCell="F159" sqref="F159"/>
    </sheetView>
  </sheetViews>
  <sheetFormatPr defaultRowHeight="15.0" defaultColWidth="10"/>
  <cols>
    <col min="2" max="2" customWidth="1" bestFit="1" width="32.85547" style="0"/>
    <col min="3" max="3" customWidth="1" bestFit="1" width="18.0" style="0"/>
    <col min="4" max="9" customWidth="1" bestFit="1" width="15.855469" style="0"/>
    <col min="10" max="10" customWidth="1" width="14.855469" style="0"/>
    <col min="11" max="11" customWidth="1" width="14.425781" style="0"/>
    <col min="12" max="12" customWidth="1" bestFit="1" width="14.855469" style="0"/>
    <col min="13" max="18" customWidth="1" bestFit="1" width="11.855469" style="0"/>
    <col min="19" max="19" customWidth="1" bestFit="1" width="4.5703125" style="0"/>
  </cols>
  <sheetData>
    <row r="5" spans="8:8" ht="18.75">
      <c r="B5" s="296" t="s">
        <v>583</v>
      </c>
      <c r="C5" s="296"/>
      <c r="D5" s="296"/>
      <c r="E5" s="296"/>
      <c r="F5" s="296"/>
      <c r="G5" s="296"/>
      <c r="H5" s="296"/>
      <c r="I5" s="296"/>
      <c r="J5" s="296"/>
    </row>
    <row r="6" spans="8:8" ht="16.5">
      <c r="B6" s="297"/>
      <c r="C6" s="297"/>
      <c r="D6" s="297"/>
      <c r="E6" s="297"/>
      <c r="F6" s="297"/>
      <c r="G6" s="297"/>
      <c r="H6" s="297"/>
      <c r="I6" s="297"/>
      <c r="J6" s="297"/>
    </row>
    <row r="7" spans="8:8" ht="15.75">
      <c r="B7" s="298" t="s">
        <v>29</v>
      </c>
      <c r="C7" s="299" t="s">
        <v>341</v>
      </c>
      <c r="D7" s="299" t="s">
        <v>2</v>
      </c>
      <c r="E7" s="299" t="s">
        <v>3</v>
      </c>
      <c r="F7" s="299" t="s">
        <v>4</v>
      </c>
      <c r="G7" s="299" t="s">
        <v>5</v>
      </c>
      <c r="H7" s="299" t="s">
        <v>6</v>
      </c>
      <c r="I7" s="299" t="s">
        <v>169</v>
      </c>
      <c r="J7" s="299" t="s">
        <v>168</v>
      </c>
      <c r="L7" s="300"/>
    </row>
    <row r="8" spans="8:8">
      <c r="B8" s="172"/>
      <c r="C8" s="172"/>
      <c r="D8" s="172"/>
      <c r="E8" s="172"/>
      <c r="F8" s="172"/>
      <c r="G8" s="172"/>
      <c r="H8" s="172"/>
      <c r="I8" s="172"/>
      <c r="J8" s="172"/>
    </row>
    <row r="9" spans="8:8">
      <c r="B9" s="172" t="s">
        <v>30</v>
      </c>
      <c r="C9" s="172"/>
      <c r="D9" s="301">
        <f>'6.Cons Profit &amp; Loss'!B51</f>
        <v>2305453.26350379</v>
      </c>
      <c r="E9" s="301">
        <f>'6.Cons Profit &amp; Loss'!C51</f>
        <v>3482215.45155509</v>
      </c>
      <c r="F9" s="301">
        <f>'6.Cons Profit &amp; Loss'!D51</f>
        <v>4455416.8187265005</v>
      </c>
      <c r="G9" s="301">
        <f>'6.Cons Profit &amp; Loss'!E51</f>
        <v>5523609.916557889</v>
      </c>
      <c r="H9" s="301">
        <f>'6.Cons Profit &amp; Loss'!F51</f>
        <v>6691503.41472621</v>
      </c>
      <c r="I9" s="301">
        <f>'6.Cons Profit &amp; Loss'!G51</f>
        <v>8165770.027088789</v>
      </c>
      <c r="J9" s="301">
        <f>'6.Cons Profit &amp; Loss'!H51</f>
        <v>9549101.382814892</v>
      </c>
    </row>
    <row r="10" spans="8:8">
      <c r="B10" s="172"/>
      <c r="C10" s="172"/>
      <c r="D10" s="301"/>
      <c r="E10" s="301"/>
      <c r="F10" s="301"/>
      <c r="G10" s="301"/>
      <c r="H10" s="301"/>
      <c r="I10" s="301"/>
      <c r="J10" s="301"/>
    </row>
    <row r="11" spans="8:8">
      <c r="B11" s="175" t="s">
        <v>31</v>
      </c>
      <c r="C11" s="175"/>
      <c r="D11" s="301">
        <f>'6.Cons Profit &amp; Loss'!B42</f>
        <v>1024859.3553</v>
      </c>
      <c r="E11" s="301">
        <f>'6.Cons Profit &amp; Loss'!C42</f>
        <v>1024859.3553</v>
      </c>
      <c r="F11" s="301">
        <f>'6.Cons Profit &amp; Loss'!D42</f>
        <v>1024859.3553</v>
      </c>
      <c r="G11" s="301">
        <f>'6.Cons Profit &amp; Loss'!E42</f>
        <v>1024859.3553</v>
      </c>
      <c r="H11" s="301">
        <f>'6.Cons Profit &amp; Loss'!F42</f>
        <v>1024859.3553</v>
      </c>
      <c r="I11" s="301">
        <f>'6.Cons Profit &amp; Loss'!G42</f>
        <v>1024859.3553</v>
      </c>
      <c r="J11" s="301">
        <f>'6.Cons Profit &amp; Loss'!H42</f>
        <v>1024859.3553</v>
      </c>
    </row>
    <row r="12" spans="8:8">
      <c r="B12" s="172" t="s">
        <v>36</v>
      </c>
      <c r="C12" s="172"/>
      <c r="D12" s="301">
        <f>'6.Cons Profit &amp; Loss'!B43</f>
        <v>272278.4</v>
      </c>
      <c r="E12" s="301">
        <f>'6.Cons Profit &amp; Loss'!C43</f>
        <v>272278.4</v>
      </c>
      <c r="F12" s="301">
        <f>'6.Cons Profit &amp; Loss'!D43</f>
        <v>272278.4</v>
      </c>
      <c r="G12" s="301">
        <f>'6.Cons Profit &amp; Loss'!E43</f>
        <v>272278.4</v>
      </c>
      <c r="H12" s="301">
        <f>'6.Cons Profit &amp; Loss'!F43</f>
        <v>272278.4</v>
      </c>
      <c r="I12" s="301">
        <f>'6.Cons Profit &amp; Loss'!G43</f>
        <v>0.0</v>
      </c>
      <c r="J12" s="301">
        <f>'6.Cons Profit &amp; Loss'!H43</f>
        <v>0.0</v>
      </c>
    </row>
    <row r="13" spans="8:8">
      <c r="B13" s="172"/>
      <c r="C13" s="172"/>
      <c r="D13" s="172"/>
      <c r="E13" s="172"/>
      <c r="F13" s="172"/>
      <c r="G13" s="172"/>
      <c r="H13" s="172"/>
      <c r="I13" s="172"/>
      <c r="J13" s="172"/>
    </row>
    <row r="14" spans="8:8">
      <c r="B14" s="172" t="s">
        <v>32</v>
      </c>
      <c r="C14" s="172"/>
      <c r="D14" s="301">
        <f>SUM(D9:D12)</f>
        <v>3602591.0188037897</v>
      </c>
      <c r="E14" s="301">
        <f t="shared" si="0" ref="E14:J14">SUM(E9:E12)</f>
        <v>4779353.20685509</v>
      </c>
      <c r="F14" s="301">
        <f t="shared" si="0"/>
        <v>5752554.574026501</v>
      </c>
      <c r="G14" s="301">
        <f t="shared" si="0"/>
        <v>6820747.67185789</v>
      </c>
      <c r="H14" s="301">
        <f t="shared" si="0"/>
        <v>7988641.17002621</v>
      </c>
      <c r="I14" s="301">
        <f t="shared" si="0"/>
        <v>9190629.38238879</v>
      </c>
      <c r="J14" s="301">
        <f t="shared" si="0"/>
        <v>1.0573960738114892E7</v>
      </c>
    </row>
    <row r="15" spans="8:8">
      <c r="B15" s="172" t="s">
        <v>350</v>
      </c>
      <c r="C15" s="302">
        <f>-'1.Project Cost and MOF'!D12</f>
        <v>-2.8589241E7</v>
      </c>
      <c r="D15" s="301">
        <f>D14</f>
        <v>3602591.0188037897</v>
      </c>
      <c r="E15" s="301">
        <f t="shared" si="1" ref="E15:J15">E14</f>
        <v>4779353.20685509</v>
      </c>
      <c r="F15" s="301">
        <f t="shared" si="1"/>
        <v>5752554.574026501</v>
      </c>
      <c r="G15" s="301">
        <f t="shared" si="1"/>
        <v>6820747.67185789</v>
      </c>
      <c r="H15" s="301">
        <f t="shared" si="1"/>
        <v>7988641.17002621</v>
      </c>
      <c r="I15" s="301">
        <f t="shared" si="1"/>
        <v>9190629.38238879</v>
      </c>
      <c r="J15" s="301">
        <f t="shared" si="1"/>
        <v>1.0573960738114892E7</v>
      </c>
    </row>
    <row r="16" spans="8:8">
      <c r="B16" s="172" t="s">
        <v>282</v>
      </c>
      <c r="C16" s="303">
        <f>IRR(C15:J15)</f>
        <v>0.12770530347143083</v>
      </c>
      <c r="D16" s="301"/>
      <c r="E16" s="301"/>
      <c r="F16" s="301"/>
      <c r="G16" s="301"/>
      <c r="H16" s="301"/>
      <c r="I16" s="301"/>
      <c r="J16" s="301"/>
    </row>
    <row r="17" spans="8:8">
      <c r="B17" s="172"/>
      <c r="C17" s="172"/>
      <c r="D17" s="172"/>
      <c r="E17" s="172"/>
      <c r="F17" s="172"/>
      <c r="G17" s="172"/>
      <c r="H17" s="172"/>
      <c r="I17" s="172"/>
      <c r="J17" s="172"/>
    </row>
    <row r="18" spans="8:8" ht="16.5">
      <c r="B18" s="304" t="s">
        <v>416</v>
      </c>
      <c r="C18" s="304"/>
      <c r="D18" s="305">
        <f>1/(1+$C$16)</f>
        <v>0.8867564929611363</v>
      </c>
      <c r="E18" s="306">
        <f t="shared" si="2" ref="E18:J18">D18/(1+$C$16)</f>
        <v>0.7863370778087339</v>
      </c>
      <c r="F18" s="306">
        <f t="shared" si="2"/>
        <v>0.6972895094029811</v>
      </c>
      <c r="G18" s="306">
        <f t="shared" si="2"/>
        <v>0.6183259999367788</v>
      </c>
      <c r="H18" s="306">
        <f t="shared" si="2"/>
        <v>0.5483045952106258</v>
      </c>
      <c r="I18" s="306">
        <f t="shared" si="2"/>
        <v>0.48621265992345003</v>
      </c>
      <c r="J18" s="306">
        <f t="shared" si="2"/>
        <v>0.4311522331470242</v>
      </c>
      <c r="L18" s="307"/>
      <c r="M18" s="307"/>
      <c r="N18" s="307"/>
      <c r="O18" s="307"/>
      <c r="P18" s="307"/>
      <c r="Q18" s="307"/>
      <c r="R18" s="307"/>
      <c r="S18" s="307"/>
    </row>
    <row r="19" spans="8:8">
      <c r="B19" s="172" t="s">
        <v>33</v>
      </c>
      <c r="C19" s="172"/>
      <c r="D19" s="301">
        <f t="shared" si="3" ref="D19:J19">D14*D18</f>
        <v>3194620.977407736</v>
      </c>
      <c r="E19" s="301">
        <f t="shared" si="3"/>
        <v>3758182.634494233</v>
      </c>
      <c r="F19" s="301">
        <f t="shared" si="3"/>
        <v>4011195.9567368133</v>
      </c>
      <c r="G19" s="301">
        <f t="shared" si="3"/>
        <v>4217445.624517986</v>
      </c>
      <c r="H19" s="301">
        <f t="shared" si="3"/>
        <v>4380208.663014161</v>
      </c>
      <c r="I19" s="301">
        <f t="shared" si="3"/>
        <v>4468600.358381868</v>
      </c>
      <c r="J19" s="301">
        <f t="shared" si="3"/>
        <v>4558986.785447192</v>
      </c>
      <c r="L19" s="308"/>
    </row>
    <row r="20" spans="8:8">
      <c r="B20" s="172" t="s">
        <v>34</v>
      </c>
      <c r="C20" s="172"/>
      <c r="D20" s="309">
        <f>SUM(D19:J19)</f>
        <v>2.858924099999999E7</v>
      </c>
      <c r="E20" s="309"/>
      <c r="F20" s="309"/>
      <c r="G20" s="309"/>
      <c r="H20" s="309"/>
      <c r="I20" s="309"/>
      <c r="J20" s="309"/>
      <c r="L20" s="308"/>
    </row>
    <row r="21" spans="8:8">
      <c r="B21" s="172"/>
      <c r="C21" s="172"/>
      <c r="D21" s="301"/>
      <c r="E21" s="301"/>
      <c r="F21" s="301"/>
      <c r="G21" s="301"/>
      <c r="H21" s="301"/>
      <c r="I21" s="301"/>
      <c r="J21" s="301"/>
    </row>
    <row r="22" spans="8:8">
      <c r="B22" s="310" t="s">
        <v>35</v>
      </c>
      <c r="C22" s="310"/>
      <c r="D22" s="311">
        <f>'1.Project Cost and MOF'!D12</f>
        <v>2.8589241E7</v>
      </c>
      <c r="E22" s="311"/>
      <c r="F22" s="311"/>
      <c r="G22" s="311"/>
      <c r="H22" s="311"/>
      <c r="I22" s="311"/>
      <c r="J22" s="311"/>
    </row>
    <row r="23" spans="8:8">
      <c r="F23" s="307">
        <f>D20-D22</f>
        <v>0.0</v>
      </c>
    </row>
    <row r="24" spans="8:8" ht="29.85" customHeight="1">
      <c r="B24" s="312" t="s">
        <v>434</v>
      </c>
      <c r="C24" s="312"/>
      <c r="D24" s="312"/>
      <c r="E24" s="312"/>
      <c r="F24" s="312"/>
      <c r="G24" s="312"/>
      <c r="H24" s="312"/>
      <c r="I24" s="312"/>
      <c r="J24" s="312"/>
    </row>
    <row r="25" spans="8:8">
      <c r="K25" s="307"/>
      <c r="L25" s="307"/>
      <c r="M25" s="307"/>
    </row>
    <row r="26" spans="8:8" ht="18.75">
      <c r="B26" s="30" t="s">
        <v>584</v>
      </c>
      <c r="C26" s="30"/>
      <c r="D26" s="30"/>
      <c r="E26" s="30"/>
      <c r="F26" s="30"/>
      <c r="G26" s="30"/>
      <c r="H26" s="30"/>
      <c r="I26" s="30"/>
    </row>
    <row r="27" spans="8:8">
      <c r="K27" s="307"/>
    </row>
    <row r="28" spans="8:8">
      <c r="B28" s="313" t="s">
        <v>0</v>
      </c>
      <c r="C28" s="314" t="s">
        <v>2</v>
      </c>
      <c r="D28" s="314" t="s">
        <v>3</v>
      </c>
      <c r="E28" s="314" t="s">
        <v>4</v>
      </c>
      <c r="F28" s="314" t="s">
        <v>5</v>
      </c>
      <c r="G28" s="314" t="s">
        <v>6</v>
      </c>
      <c r="H28" s="314" t="s">
        <v>169</v>
      </c>
      <c r="I28" s="314" t="s">
        <v>168</v>
      </c>
    </row>
    <row r="29" spans="8:8">
      <c r="B29" s="120"/>
      <c r="C29" s="120"/>
      <c r="D29" s="120"/>
      <c r="E29" s="120"/>
      <c r="F29" s="120"/>
      <c r="G29" s="120"/>
      <c r="H29" s="120"/>
      <c r="I29" s="120"/>
    </row>
    <row r="30" spans="8:8">
      <c r="B30" s="120" t="s">
        <v>37</v>
      </c>
      <c r="C30" s="120"/>
      <c r="D30" s="120"/>
      <c r="E30" s="120"/>
      <c r="F30" s="120"/>
      <c r="G30" s="120"/>
      <c r="H30" s="120"/>
      <c r="I30" s="120"/>
    </row>
    <row r="31" spans="8:8">
      <c r="B31" s="120"/>
      <c r="C31" s="122"/>
      <c r="D31" s="122"/>
      <c r="E31" s="122"/>
      <c r="F31" s="122"/>
      <c r="G31" s="122"/>
      <c r="H31" s="122"/>
      <c r="I31" s="122"/>
    </row>
    <row r="32" spans="8:8">
      <c r="B32" s="315" t="str">
        <f>'6.Cons Profit &amp; Loss'!A8</f>
        <v>Faclitiy 1 - Cleaning &amp; Grading</v>
      </c>
      <c r="C32" s="122">
        <f>'6.Cons Profit &amp; Loss'!B8</f>
        <v>9.8416687528125E7</v>
      </c>
      <c r="D32" s="122">
        <f>'6.Cons Profit &amp; Loss'!C8</f>
        <v>1.2025828572515625E8</v>
      </c>
      <c r="E32" s="122">
        <f>'6.Cons Profit &amp; Loss'!D8</f>
        <v>1.3896177287688282E8</v>
      </c>
      <c r="F32" s="122">
        <f>'6.Cons Profit &amp; Loss'!E8</f>
        <v>1.5923496302946916E8</v>
      </c>
      <c r="G32" s="122">
        <f>'6.Cons Profit &amp; Loss'!F8</f>
        <v>1.8118806776512188E8</v>
      </c>
      <c r="H32" s="122">
        <f>'6.Cons Profit &amp; Loss'!G8</f>
        <v>2.0493839556676626E8</v>
      </c>
      <c r="I32" s="122">
        <f>'6.Cons Profit &amp; Loss'!H8</f>
        <v>2.3061078597916222E8</v>
      </c>
    </row>
    <row r="33" spans="8:8">
      <c r="B33" s="315" t="str">
        <f>'6.Cons Profit &amp; Loss'!A9</f>
        <v>Faclitiy 2 - Processing Unit- Dal Mill</v>
      </c>
      <c r="C33" s="122">
        <f>'6.Cons Profit &amp; Loss'!B9</f>
        <v>0.0</v>
      </c>
      <c r="D33" s="122">
        <f>'6.Cons Profit &amp; Loss'!C9</f>
        <v>0.0</v>
      </c>
      <c r="E33" s="122">
        <f>'6.Cons Profit &amp; Loss'!D9</f>
        <v>0.0</v>
      </c>
      <c r="F33" s="122">
        <f>'6.Cons Profit &amp; Loss'!E9</f>
        <v>0.0</v>
      </c>
      <c r="G33" s="122">
        <f>'6.Cons Profit &amp; Loss'!F9</f>
        <v>0.0</v>
      </c>
      <c r="H33" s="122">
        <f>'6.Cons Profit &amp; Loss'!G9</f>
        <v>0.0</v>
      </c>
      <c r="I33" s="122">
        <f>'6.Cons Profit &amp; Loss'!H9</f>
        <v>0.0</v>
      </c>
    </row>
    <row r="34" spans="8:8">
      <c r="B34" s="315" t="str">
        <f>'6.Cons Profit &amp; Loss'!A10</f>
        <v>Faclitiy 3 - Warehouse</v>
      </c>
      <c r="C34" s="122">
        <f>'6.Cons Profit &amp; Loss'!B10</f>
        <v>0.0</v>
      </c>
      <c r="D34" s="122">
        <f>'6.Cons Profit &amp; Loss'!C10</f>
        <v>0.0</v>
      </c>
      <c r="E34" s="122">
        <f>'6.Cons Profit &amp; Loss'!D10</f>
        <v>0.0</v>
      </c>
      <c r="F34" s="122">
        <f>'6.Cons Profit &amp; Loss'!E10</f>
        <v>0.0</v>
      </c>
      <c r="G34" s="122">
        <f>'6.Cons Profit &amp; Loss'!F10</f>
        <v>0.0</v>
      </c>
      <c r="H34" s="122">
        <f>'6.Cons Profit &amp; Loss'!G10</f>
        <v>0.0</v>
      </c>
      <c r="I34" s="122">
        <f>'6.Cons Profit &amp; Loss'!H10</f>
        <v>0.0</v>
      </c>
    </row>
    <row r="35" spans="8:8">
      <c r="B35" s="315" t="str">
        <f>'6.Cons Profit &amp; Loss'!A11</f>
        <v>Faclitiy 4 - Custom Hiring </v>
      </c>
      <c r="C35" s="122">
        <f>'6.Cons Profit &amp; Loss'!B11</f>
        <v>0.0</v>
      </c>
      <c r="D35" s="122">
        <f>'6.Cons Profit &amp; Loss'!C11</f>
        <v>0.0</v>
      </c>
      <c r="E35" s="122">
        <f>'6.Cons Profit &amp; Loss'!D11</f>
        <v>0.0</v>
      </c>
      <c r="F35" s="122">
        <f>'6.Cons Profit &amp; Loss'!E11</f>
        <v>0.0</v>
      </c>
      <c r="G35" s="122">
        <f>'6.Cons Profit &amp; Loss'!F11</f>
        <v>0.0</v>
      </c>
      <c r="H35" s="122">
        <f>'6.Cons Profit &amp; Loss'!G11</f>
        <v>0.0</v>
      </c>
      <c r="I35" s="122">
        <f>'6.Cons Profit &amp; Loss'!H11</f>
        <v>0.0</v>
      </c>
    </row>
    <row r="36" spans="8:8">
      <c r="B36" s="315" t="str">
        <f>'6.Cons Profit &amp; Loss'!A12</f>
        <v>Faclitiy 5 - Agri Input Centre</v>
      </c>
      <c r="C36" s="122">
        <f>'6.Cons Profit &amp; Loss'!B12</f>
        <v>0.0</v>
      </c>
      <c r="D36" s="122">
        <f>'6.Cons Profit &amp; Loss'!C12</f>
        <v>0.0</v>
      </c>
      <c r="E36" s="122">
        <f>'6.Cons Profit &amp; Loss'!D12</f>
        <v>0.0</v>
      </c>
      <c r="F36" s="122">
        <f>'6.Cons Profit &amp; Loss'!E12</f>
        <v>0.0</v>
      </c>
      <c r="G36" s="122">
        <f>'6.Cons Profit &amp; Loss'!F12</f>
        <v>0.0</v>
      </c>
      <c r="H36" s="122">
        <f>'6.Cons Profit &amp; Loss'!G12</f>
        <v>0.0</v>
      </c>
      <c r="I36" s="122">
        <f>'6.Cons Profit &amp; Loss'!H12</f>
        <v>0.0</v>
      </c>
    </row>
    <row r="37" spans="8:8">
      <c r="B37" s="315" t="str">
        <f>'6.Cons Profit &amp; Loss'!A13</f>
        <v>Facility 6 - Processing Unit - Horti Commodity</v>
      </c>
      <c r="C37" s="122">
        <f>'6.Cons Profit &amp; Loss'!B13</f>
        <v>0.0</v>
      </c>
      <c r="D37" s="122">
        <f>'6.Cons Profit &amp; Loss'!C13</f>
        <v>0.0</v>
      </c>
      <c r="E37" s="122">
        <f>'6.Cons Profit &amp; Loss'!D13</f>
        <v>0.0</v>
      </c>
      <c r="F37" s="122">
        <f>'6.Cons Profit &amp; Loss'!E13</f>
        <v>0.0</v>
      </c>
      <c r="G37" s="122">
        <f>'6.Cons Profit &amp; Loss'!F13</f>
        <v>0.0</v>
      </c>
      <c r="H37" s="122">
        <f>'6.Cons Profit &amp; Loss'!G13</f>
        <v>0.0</v>
      </c>
      <c r="I37" s="122">
        <f>'6.Cons Profit &amp; Loss'!H13</f>
        <v>0.0</v>
      </c>
    </row>
    <row r="38" spans="8:8">
      <c r="B38" s="315"/>
      <c r="C38" s="315"/>
      <c r="D38" s="315"/>
      <c r="E38" s="315"/>
      <c r="F38" s="315"/>
      <c r="G38" s="315"/>
      <c r="H38" s="315"/>
      <c r="I38" s="315"/>
    </row>
    <row r="39" spans="8:8">
      <c r="B39" s="120" t="s">
        <v>8</v>
      </c>
      <c r="C39" s="122">
        <f>SUM(C32:C38)</f>
        <v>9.8416687528125E7</v>
      </c>
      <c r="D39" s="122">
        <f t="shared" si="4" ref="D39:I39">SUM(D32:D38)</f>
        <v>1.2025828572515625E8</v>
      </c>
      <c r="E39" s="122">
        <f t="shared" si="4"/>
        <v>1.3896177287688282E8</v>
      </c>
      <c r="F39" s="122">
        <f t="shared" si="4"/>
        <v>1.5923496302946916E8</v>
      </c>
      <c r="G39" s="122">
        <f t="shared" si="4"/>
        <v>1.8118806776512188E8</v>
      </c>
      <c r="H39" s="122">
        <f t="shared" si="4"/>
        <v>2.0493839556676626E8</v>
      </c>
      <c r="I39" s="122">
        <f t="shared" si="4"/>
        <v>2.3061078597916222E8</v>
      </c>
    </row>
    <row r="40" spans="8:8">
      <c r="B40" s="120"/>
      <c r="C40" s="122"/>
      <c r="D40" s="122"/>
      <c r="E40" s="122"/>
      <c r="F40" s="122"/>
      <c r="G40" s="122"/>
      <c r="H40" s="122"/>
      <c r="I40" s="122"/>
    </row>
    <row r="41" spans="8:8">
      <c r="B41" s="120" t="s">
        <v>38</v>
      </c>
      <c r="C41" s="122">
        <f>'6.Cons Profit &amp; Loss'!B25</f>
        <v>8.97975763027875E7</v>
      </c>
      <c r="D41" s="122">
        <f>'6.Cons Profit &amp; Loss'!C25</f>
        <v>1.0946557300888175E8</v>
      </c>
      <c r="E41" s="122">
        <f>'6.Cons Profit &amp; Loss'!D25</f>
        <v>1.2648759038846204E8</v>
      </c>
      <c r="F41" s="122">
        <f>'6.Cons Profit &amp; Loss'!E25</f>
        <v>1.4493814557347938E8</v>
      </c>
      <c r="G41" s="122">
        <f>'6.Cons Profit &amp; Loss'!F25</f>
        <v>1.649175373010274E8</v>
      </c>
      <c r="H41" s="122">
        <f>'6.Cons Profit &amp; Loss'!G25</f>
        <v>1.865325228373958E8</v>
      </c>
      <c r="I41" s="122">
        <f>'6.Cons Profit &amp; Loss'!H25</f>
        <v>2.098967130841483E8</v>
      </c>
    </row>
    <row r="42" spans="8:8">
      <c r="B42" s="120"/>
      <c r="C42" s="122"/>
      <c r="D42" s="122"/>
      <c r="E42" s="122"/>
      <c r="F42" s="122"/>
      <c r="G42" s="122"/>
      <c r="H42" s="122"/>
      <c r="I42" s="122"/>
    </row>
    <row r="43" spans="8:8">
      <c r="B43" s="123" t="s">
        <v>39</v>
      </c>
      <c r="C43" s="124">
        <f>C39-C41</f>
        <v>8619111.225337505</v>
      </c>
      <c r="D43" s="124">
        <f t="shared" si="5" ref="D43:I43">D39-D41</f>
        <v>1.0792712716273993E7</v>
      </c>
      <c r="E43" s="124">
        <f t="shared" si="5"/>
        <v>1.2474182488420993E7</v>
      </c>
      <c r="F43" s="124">
        <f t="shared" si="5"/>
        <v>1.4296817455990016E7</v>
      </c>
      <c r="G43" s="124">
        <f t="shared" si="5"/>
        <v>1.6270530464094996E7</v>
      </c>
      <c r="H43" s="124">
        <f t="shared" si="5"/>
        <v>1.8405872729369998E7</v>
      </c>
      <c r="I43" s="124">
        <f t="shared" si="5"/>
        <v>2.0714072895014018E7</v>
      </c>
    </row>
    <row r="44" spans="8:8">
      <c r="B44" s="120"/>
      <c r="C44" s="122"/>
      <c r="D44" s="122"/>
      <c r="E44" s="122"/>
      <c r="F44" s="122"/>
      <c r="G44" s="122"/>
      <c r="H44" s="122"/>
      <c r="I44" s="122"/>
    </row>
    <row r="45" spans="8:8">
      <c r="B45" s="123" t="s">
        <v>41</v>
      </c>
      <c r="C45" s="124">
        <f>'6.Cons Profit &amp; Loss'!B36+'6.Cons Profit &amp; Loss'!B42+'6.Cons Profit &amp; Loss'!B43</f>
        <v>4904567.444641001</v>
      </c>
      <c r="D45" s="124">
        <f>'6.Cons Profit &amp; Loss'!C36+'6.Cons Profit &amp; Loss'!C42+'6.Cons Profit &amp; Loss'!C43</f>
        <v>5089888.663982</v>
      </c>
      <c r="E45" s="124">
        <f>'6.Cons Profit &amp; Loss'!D36+'6.Cons Profit &amp; Loss'!D42+'6.Cons Profit &amp; Loss'!D43</f>
        <v>5293513.233323</v>
      </c>
      <c r="F45" s="124">
        <f>'6.Cons Profit &amp; Loss'!E36+'6.Cons Profit &amp; Loss'!E42+'6.Cons Profit &amp; Loss'!E43</f>
        <v>5517106.320164001</v>
      </c>
      <c r="G45" s="124">
        <f>'6.Cons Profit &amp; Loss'!F36+'6.Cons Profit &amp; Loss'!F42+'6.Cons Profit &amp; Loss'!F43</f>
        <v>5762491.350380001</v>
      </c>
      <c r="H45" s="124">
        <f>'6.Cons Profit &amp; Loss'!G36+'6.Cons Profit &amp; Loss'!G42+'6.Cons Profit &amp; Loss'!G43</f>
        <v>5759387.02113975</v>
      </c>
      <c r="I45" s="124">
        <f>'6.Cons Profit &amp; Loss'!H36+'6.Cons Profit &amp; Loss'!H42+'6.Cons Profit &amp; Loss'!H43</f>
        <v>6054537.83447044</v>
      </c>
    </row>
    <row r="46" spans="8:8">
      <c r="B46" s="120"/>
      <c r="C46" s="120"/>
      <c r="D46" s="120"/>
      <c r="E46" s="120"/>
      <c r="F46" s="120"/>
      <c r="G46" s="120"/>
      <c r="H46" s="120"/>
      <c r="I46" s="120"/>
    </row>
    <row r="47" spans="8:8">
      <c r="B47" s="120" t="s">
        <v>40</v>
      </c>
      <c r="C47" s="316">
        <f>C45/C43</f>
        <v>0.5690340124887933</v>
      </c>
      <c r="D47" s="316">
        <f>D45/D43</f>
        <v>0.4716042016301533</v>
      </c>
      <c r="E47" s="316">
        <f>E45/E43</f>
        <v>0.424357527095394</v>
      </c>
      <c r="F47" s="316">
        <f>F45/F43</f>
        <v>0.3858975144046809</v>
      </c>
      <c r="G47" s="316">
        <f>G45/G43</f>
        <v>0.3541673925811074</v>
      </c>
      <c r="H47" s="316">
        <f t="shared" si="6" ref="H47:I47">H45/H43</f>
        <v>0.3129102925909933</v>
      </c>
      <c r="I47" s="316">
        <f t="shared" si="6"/>
        <v>0.2922910363962173</v>
      </c>
    </row>
    <row r="48" spans="8:8">
      <c r="B48" s="115"/>
      <c r="C48" s="115"/>
      <c r="D48" s="115"/>
      <c r="E48" s="115"/>
      <c r="F48" s="115"/>
      <c r="G48" s="115"/>
      <c r="H48" s="115"/>
      <c r="I48" s="115"/>
    </row>
    <row r="49" spans="8:8">
      <c r="B49" s="317" t="s">
        <v>134</v>
      </c>
      <c r="C49" s="318">
        <f>AVERAGE(C47:I47)</f>
        <v>0.4014659967410485</v>
      </c>
      <c r="D49" s="115"/>
      <c r="E49" s="115"/>
      <c r="F49" s="115"/>
      <c r="G49" s="115"/>
      <c r="H49" s="115"/>
      <c r="I49" s="115"/>
    </row>
    <row r="51" spans="8:8" ht="41.85" customHeight="1">
      <c r="B51" s="319" t="s">
        <v>435</v>
      </c>
      <c r="C51" s="319"/>
      <c r="D51" s="319"/>
      <c r="E51" s="319"/>
      <c r="F51" s="319"/>
      <c r="G51" s="319"/>
      <c r="H51" s="319"/>
      <c r="I51" s="319"/>
      <c r="J51" s="319"/>
    </row>
    <row r="54" spans="8:8" ht="18.75">
      <c r="B54" s="30" t="s">
        <v>585</v>
      </c>
      <c r="C54" s="30"/>
      <c r="D54" s="30"/>
      <c r="E54" s="30"/>
      <c r="F54" s="30"/>
      <c r="G54" s="30"/>
      <c r="H54" s="30"/>
      <c r="I54" s="30"/>
    </row>
    <row r="56" spans="8:8">
      <c r="B56" s="195" t="s">
        <v>29</v>
      </c>
      <c r="C56" s="196" t="s">
        <v>2</v>
      </c>
      <c r="D56" s="196" t="s">
        <v>3</v>
      </c>
      <c r="E56" s="196" t="s">
        <v>4</v>
      </c>
      <c r="F56" s="196" t="s">
        <v>5</v>
      </c>
      <c r="G56" s="196" t="s">
        <v>6</v>
      </c>
      <c r="H56" s="196" t="s">
        <v>169</v>
      </c>
      <c r="I56" s="196" t="s">
        <v>168</v>
      </c>
    </row>
    <row r="57" spans="8:8">
      <c r="B57" s="120"/>
      <c r="C57" s="120"/>
      <c r="D57" s="120"/>
      <c r="E57" s="120"/>
      <c r="F57" s="120"/>
      <c r="G57" s="120"/>
      <c r="H57" s="120"/>
      <c r="I57" s="120"/>
    </row>
    <row r="58" spans="8:8">
      <c r="B58" s="120" t="s">
        <v>382</v>
      </c>
      <c r="C58" s="320">
        <f>'6.Cons Profit &amp; Loss'!B51</f>
        <v>2305453.26350379</v>
      </c>
      <c r="D58" s="320">
        <f>'6.Cons Profit &amp; Loss'!C51</f>
        <v>3482215.45155509</v>
      </c>
      <c r="E58" s="320">
        <f>'6.Cons Profit &amp; Loss'!D51</f>
        <v>4455416.8187265005</v>
      </c>
      <c r="F58" s="320">
        <f>'6.Cons Profit &amp; Loss'!E51</f>
        <v>5523609.916557889</v>
      </c>
      <c r="G58" s="320">
        <f>'6.Cons Profit &amp; Loss'!F51</f>
        <v>6691503.41472621</v>
      </c>
      <c r="H58" s="320">
        <f>'6.Cons Profit &amp; Loss'!G51</f>
        <v>8165770.027088789</v>
      </c>
      <c r="I58" s="320">
        <f>'6.Cons Profit &amp; Loss'!H51</f>
        <v>9549101.382814892</v>
      </c>
    </row>
    <row r="59" spans="8:8">
      <c r="B59" s="120"/>
      <c r="C59" s="320"/>
      <c r="D59" s="320"/>
      <c r="E59" s="320"/>
      <c r="F59" s="320"/>
      <c r="G59" s="320"/>
      <c r="H59" s="320"/>
      <c r="I59" s="320"/>
    </row>
    <row r="60" spans="8:8">
      <c r="B60" s="120" t="s">
        <v>42</v>
      </c>
      <c r="C60" s="320">
        <f>'6.Cons Profit &amp; Loss'!B42</f>
        <v>1024859.3553</v>
      </c>
      <c r="D60" s="320">
        <f>'6.Cons Profit &amp; Loss'!C42</f>
        <v>1024859.3553</v>
      </c>
      <c r="E60" s="320">
        <f>'6.Cons Profit &amp; Loss'!D42</f>
        <v>1024859.3553</v>
      </c>
      <c r="F60" s="320">
        <f>'6.Cons Profit &amp; Loss'!E42</f>
        <v>1024859.3553</v>
      </c>
      <c r="G60" s="320">
        <f>'6.Cons Profit &amp; Loss'!F42</f>
        <v>1024859.3553</v>
      </c>
      <c r="H60" s="320">
        <f>'6.Cons Profit &amp; Loss'!G42</f>
        <v>1024859.3553</v>
      </c>
      <c r="I60" s="320">
        <f>'6.Cons Profit &amp; Loss'!H42</f>
        <v>1024859.3553</v>
      </c>
    </row>
    <row r="61" spans="8:8">
      <c r="B61" s="321" t="s">
        <v>48</v>
      </c>
      <c r="C61" s="320">
        <f>'6.Cons Profit &amp; Loss'!B43</f>
        <v>272278.4</v>
      </c>
      <c r="D61" s="320">
        <f>'6.Cons Profit &amp; Loss'!C43</f>
        <v>272278.4</v>
      </c>
      <c r="E61" s="320">
        <f>'6.Cons Profit &amp; Loss'!D43</f>
        <v>272278.4</v>
      </c>
      <c r="F61" s="320">
        <f>'6.Cons Profit &amp; Loss'!E43</f>
        <v>272278.4</v>
      </c>
      <c r="G61" s="320">
        <f>'6.Cons Profit &amp; Loss'!F43</f>
        <v>272278.4</v>
      </c>
      <c r="H61" s="320">
        <f>'6.Cons Profit &amp; Loss'!G43</f>
        <v>0.0</v>
      </c>
      <c r="I61" s="320">
        <f>'6.Cons Profit &amp; Loss'!H43</f>
        <v>0.0</v>
      </c>
    </row>
    <row r="62" spans="8:8">
      <c r="B62" s="120"/>
      <c r="C62" s="320"/>
      <c r="D62" s="320"/>
      <c r="E62" s="320"/>
      <c r="F62" s="320"/>
      <c r="G62" s="320"/>
      <c r="H62" s="320"/>
      <c r="I62" s="320"/>
    </row>
    <row r="63" spans="8:8">
      <c r="B63" s="120" t="s">
        <v>32</v>
      </c>
      <c r="C63" s="320">
        <f>SUM(C58:C61)</f>
        <v>3602591.0188037897</v>
      </c>
      <c r="D63" s="320">
        <f t="shared" si="7" ref="D63:I63">SUM(D58:D61)</f>
        <v>4779353.20685509</v>
      </c>
      <c r="E63" s="320">
        <f t="shared" si="7"/>
        <v>5752554.574026501</v>
      </c>
      <c r="F63" s="320">
        <f t="shared" si="7"/>
        <v>6820747.67185789</v>
      </c>
      <c r="G63" s="320">
        <f t="shared" si="7"/>
        <v>7988641.17002621</v>
      </c>
      <c r="H63" s="320">
        <f t="shared" si="7"/>
        <v>9190629.38238879</v>
      </c>
      <c r="I63" s="320">
        <f t="shared" si="7"/>
        <v>1.0573960738114892E7</v>
      </c>
    </row>
    <row r="64" spans="8:8">
      <c r="B64" s="120"/>
      <c r="C64" s="120"/>
      <c r="D64" s="120"/>
      <c r="E64" s="120"/>
      <c r="F64" s="120"/>
      <c r="G64" s="120"/>
      <c r="H64" s="120"/>
      <c r="I64" s="120"/>
    </row>
    <row r="65" spans="8:8" ht="16.5">
      <c r="B65" s="322" t="s">
        <v>43</v>
      </c>
      <c r="C65" s="315">
        <f>1/1.1</f>
        <v>0.9090909090909091</v>
      </c>
      <c r="D65" s="315">
        <f t="shared" si="8" ref="D65:I65">C65/1.1</f>
        <v>0.8264462809917354</v>
      </c>
      <c r="E65" s="315">
        <f t="shared" si="8"/>
        <v>0.7513148009015777</v>
      </c>
      <c r="F65" s="315">
        <f t="shared" si="8"/>
        <v>0.6830134553650705</v>
      </c>
      <c r="G65" s="315">
        <f t="shared" si="8"/>
        <v>0.6209213230591549</v>
      </c>
      <c r="H65" s="315">
        <f t="shared" si="8"/>
        <v>0.5644739300537771</v>
      </c>
      <c r="I65" s="315">
        <f t="shared" si="8"/>
        <v>0.5131581182307065</v>
      </c>
    </row>
    <row r="66" spans="8:8">
      <c r="B66" s="120"/>
      <c r="C66" s="120"/>
      <c r="D66" s="120"/>
      <c r="E66" s="120"/>
      <c r="F66" s="120"/>
      <c r="G66" s="120"/>
      <c r="H66" s="120"/>
      <c r="I66" s="120"/>
    </row>
    <row r="67" spans="8:8" ht="16.5">
      <c r="B67" s="322" t="s">
        <v>44</v>
      </c>
      <c r="C67" s="122">
        <f>C63*C65</f>
        <v>3275082.7443670817</v>
      </c>
      <c r="D67" s="122">
        <f t="shared" si="9" ref="D67:I67">D63*D65</f>
        <v>3949878.6833513137</v>
      </c>
      <c r="E67" s="122">
        <f t="shared" si="9"/>
        <v>4321979.39446018</v>
      </c>
      <c r="F67" s="122">
        <f t="shared" si="9"/>
        <v>4658662.435528917</v>
      </c>
      <c r="G67" s="122">
        <f t="shared" si="9"/>
        <v>4960317.64473751</v>
      </c>
      <c r="H67" s="122">
        <f t="shared" si="9"/>
        <v>5187870.687144718</v>
      </c>
      <c r="I67" s="122">
        <f t="shared" si="9"/>
        <v>5426113.79461641</v>
      </c>
    </row>
    <row r="68" spans="8:8">
      <c r="B68" s="115"/>
      <c r="C68" s="184"/>
      <c r="D68" s="184"/>
      <c r="E68" s="184"/>
      <c r="F68" s="184"/>
      <c r="G68" s="184"/>
      <c r="H68" s="184"/>
      <c r="I68" s="184"/>
    </row>
    <row r="69" spans="8:8" ht="16.5">
      <c r="B69" s="323" t="s">
        <v>45</v>
      </c>
      <c r="C69" s="184">
        <f>SUM(C67:I67)</f>
        <v>3.177990538420613E7</v>
      </c>
      <c r="D69" s="184"/>
      <c r="E69" s="184"/>
      <c r="F69" s="184"/>
      <c r="G69" s="184"/>
      <c r="H69" s="184"/>
      <c r="I69" s="184"/>
    </row>
    <row r="70" spans="8:8">
      <c r="B70" s="115"/>
      <c r="C70" s="184"/>
      <c r="D70" s="184"/>
      <c r="E70" s="184"/>
      <c r="F70" s="184"/>
      <c r="G70" s="184"/>
      <c r="H70" s="184"/>
      <c r="I70" s="184"/>
    </row>
    <row r="71" spans="8:8" ht="16.5">
      <c r="B71" s="323" t="s">
        <v>46</v>
      </c>
      <c r="C71" s="184">
        <f>'1.Project Cost and MOF'!D12</f>
        <v>2.8589241E7</v>
      </c>
      <c r="D71" s="184"/>
      <c r="E71" s="184"/>
      <c r="F71" s="184"/>
      <c r="G71" s="184"/>
      <c r="H71" s="184"/>
      <c r="I71" s="184"/>
    </row>
    <row r="72" spans="8:8">
      <c r="B72" s="115"/>
      <c r="C72" s="324"/>
      <c r="D72" s="115"/>
      <c r="E72" s="115"/>
      <c r="F72" s="115"/>
      <c r="G72" s="115"/>
      <c r="H72" s="115"/>
      <c r="I72" s="115"/>
    </row>
    <row r="73" spans="8:8" ht="16.5">
      <c r="B73" s="323" t="s">
        <v>47</v>
      </c>
      <c r="C73" s="324">
        <f>C69-C71</f>
        <v>3190664.3842061013</v>
      </c>
      <c r="D73" s="115"/>
      <c r="E73" s="115"/>
      <c r="F73" s="115"/>
      <c r="G73" s="115"/>
      <c r="H73" s="115"/>
      <c r="I73" s="115"/>
    </row>
    <row r="75" spans="8:8" ht="35.1" customHeight="1">
      <c r="B75" s="114" t="s">
        <v>436</v>
      </c>
      <c r="C75" s="114"/>
      <c r="D75" s="114"/>
      <c r="E75" s="114"/>
      <c r="F75" s="114"/>
      <c r="G75" s="114"/>
      <c r="H75" s="114"/>
      <c r="I75" s="114"/>
      <c r="J75" s="114"/>
    </row>
    <row r="76" spans="8:8" ht="18.75">
      <c r="B76" s="30" t="s">
        <v>586</v>
      </c>
      <c r="C76" s="30"/>
      <c r="D76" s="30"/>
      <c r="E76" s="30"/>
      <c r="F76" s="30"/>
      <c r="G76" s="30"/>
      <c r="H76" s="30"/>
      <c r="I76" s="30"/>
    </row>
    <row r="77" spans="8:8">
      <c r="B77" s="115"/>
      <c r="C77" s="115"/>
      <c r="D77" s="115"/>
      <c r="E77" s="115"/>
      <c r="F77" s="115"/>
      <c r="G77" s="115"/>
      <c r="H77" s="115"/>
      <c r="I77" s="115"/>
    </row>
    <row r="78" spans="8:8" ht="15.75">
      <c r="B78" s="325" t="s">
        <v>0</v>
      </c>
      <c r="C78" s="325" t="s">
        <v>2</v>
      </c>
      <c r="D78" s="325" t="s">
        <v>3</v>
      </c>
      <c r="E78" s="325" t="s">
        <v>4</v>
      </c>
      <c r="F78" s="325" t="s">
        <v>5</v>
      </c>
      <c r="G78" s="325" t="s">
        <v>6</v>
      </c>
      <c r="H78" s="325" t="s">
        <v>169</v>
      </c>
      <c r="I78" s="325" t="s">
        <v>168</v>
      </c>
    </row>
    <row r="79" spans="8:8" ht="15.75">
      <c r="B79" s="326"/>
      <c r="C79" s="327"/>
      <c r="D79" s="327"/>
      <c r="E79" s="327"/>
      <c r="F79" s="327"/>
      <c r="G79" s="327"/>
      <c r="H79" s="327"/>
      <c r="I79" s="327"/>
    </row>
    <row r="80" spans="8:8">
      <c r="B80" s="123" t="s">
        <v>27</v>
      </c>
      <c r="C80" s="122">
        <f>'6.Cons Profit &amp; Loss'!B51</f>
        <v>2305453.26350379</v>
      </c>
      <c r="D80" s="122">
        <f>'6.Cons Profit &amp; Loss'!C51</f>
        <v>3482215.45155509</v>
      </c>
      <c r="E80" s="122">
        <f>'6.Cons Profit &amp; Loss'!D51</f>
        <v>4455416.8187265005</v>
      </c>
      <c r="F80" s="122">
        <f>'6.Cons Profit &amp; Loss'!E51</f>
        <v>5523609.916557889</v>
      </c>
      <c r="G80" s="122">
        <f>'6.Cons Profit &amp; Loss'!F51</f>
        <v>6691503.41472621</v>
      </c>
      <c r="H80" s="122">
        <f>'6.Cons Profit &amp; Loss'!G51</f>
        <v>8165770.027088789</v>
      </c>
      <c r="I80" s="122">
        <f>'6.Cons Profit &amp; Loss'!H51</f>
        <v>9549101.382814892</v>
      </c>
    </row>
    <row r="81" spans="8:8">
      <c r="B81" s="120"/>
      <c r="C81" s="120"/>
      <c r="D81" s="120"/>
      <c r="E81" s="120"/>
      <c r="F81" s="120"/>
      <c r="G81" s="120"/>
      <c r="H81" s="120"/>
      <c r="I81" s="120"/>
    </row>
    <row r="82" spans="8:8">
      <c r="B82" s="123" t="s">
        <v>124</v>
      </c>
      <c r="C82" s="328">
        <f>AVERAGE(C80:I80)+100000</f>
        <v>5839010.03928188</v>
      </c>
      <c r="D82" s="328"/>
      <c r="E82" s="328"/>
      <c r="F82" s="328"/>
      <c r="G82" s="328"/>
      <c r="H82" s="328"/>
      <c r="I82" s="328"/>
    </row>
    <row r="83" spans="8:8">
      <c r="B83" s="123" t="s">
        <v>125</v>
      </c>
      <c r="C83" s="328">
        <f>'1.Project Cost and MOF'!D12</f>
        <v>2.8589241E7</v>
      </c>
      <c r="D83" s="328"/>
      <c r="E83" s="328"/>
      <c r="F83" s="328"/>
      <c r="G83" s="328"/>
      <c r="H83" s="328"/>
      <c r="I83" s="328"/>
    </row>
    <row r="84" spans="8:8">
      <c r="B84" s="120"/>
      <c r="C84" s="120"/>
      <c r="D84" s="120"/>
      <c r="E84" s="120"/>
      <c r="F84" s="120"/>
      <c r="G84" s="120"/>
      <c r="H84" s="120"/>
      <c r="I84" s="120"/>
    </row>
    <row r="85" spans="8:8">
      <c r="B85" s="329" t="s">
        <v>126</v>
      </c>
      <c r="C85" s="330">
        <f>C82/C83</f>
        <v>0.20423802224346843</v>
      </c>
      <c r="D85" s="330"/>
      <c r="E85" s="330"/>
      <c r="F85" s="330"/>
      <c r="G85" s="330"/>
      <c r="H85" s="330"/>
      <c r="I85" s="330"/>
    </row>
    <row r="88" spans="8:8">
      <c r="B88" s="331" t="s">
        <v>437</v>
      </c>
      <c r="C88" s="331"/>
      <c r="D88" s="331"/>
      <c r="E88" s="331"/>
      <c r="F88" s="331"/>
      <c r="G88" s="331"/>
      <c r="H88" s="331"/>
      <c r="I88" s="331"/>
    </row>
    <row r="90" spans="8:8" ht="18.75">
      <c r="B90" s="30" t="s">
        <v>587</v>
      </c>
      <c r="C90" s="30"/>
      <c r="D90" s="30"/>
      <c r="E90" s="30"/>
      <c r="F90" s="30"/>
      <c r="G90" s="30"/>
      <c r="H90" s="30"/>
      <c r="I90" s="30"/>
      <c r="J90" s="30"/>
    </row>
    <row r="92" spans="8:8">
      <c r="B92" s="314" t="s">
        <v>0</v>
      </c>
      <c r="C92" s="314" t="s">
        <v>341</v>
      </c>
      <c r="D92" s="314" t="s">
        <v>2</v>
      </c>
      <c r="E92" s="314" t="s">
        <v>3</v>
      </c>
      <c r="F92" s="314" t="s">
        <v>4</v>
      </c>
      <c r="G92" s="314" t="s">
        <v>5</v>
      </c>
      <c r="H92" s="314" t="s">
        <v>6</v>
      </c>
      <c r="I92" s="314" t="s">
        <v>169</v>
      </c>
      <c r="J92" s="314" t="s">
        <v>168</v>
      </c>
    </row>
    <row r="93" spans="8:8">
      <c r="B93" s="332"/>
      <c r="C93" s="332"/>
      <c r="D93" s="333"/>
      <c r="E93" s="333"/>
      <c r="F93" s="333"/>
      <c r="G93" s="333"/>
      <c r="H93" s="333"/>
      <c r="I93" s="333"/>
      <c r="J93" s="333"/>
    </row>
    <row r="94" spans="8:8">
      <c r="B94" s="334" t="s">
        <v>283</v>
      </c>
      <c r="C94" s="335">
        <f>'1.Project Cost and MOF'!D12</f>
        <v>2.8589241E7</v>
      </c>
      <c r="D94" s="333"/>
      <c r="E94" s="333"/>
      <c r="F94" s="333"/>
      <c r="G94" s="333"/>
      <c r="H94" s="333"/>
      <c r="I94" s="333"/>
      <c r="J94" s="333"/>
    </row>
    <row r="95" spans="8:8">
      <c r="B95" s="336" t="str">
        <f>B58</f>
        <v>Profit after Tax &amp; Dividend</v>
      </c>
      <c r="C95" s="336"/>
      <c r="D95" s="337">
        <f>'6.Cons Profit &amp; Loss'!B51</f>
        <v>2305453.26350379</v>
      </c>
      <c r="E95" s="337">
        <f>'6.Cons Profit &amp; Loss'!C51</f>
        <v>3482215.45155509</v>
      </c>
      <c r="F95" s="337">
        <f>'6.Cons Profit &amp; Loss'!D51</f>
        <v>4455416.8187265005</v>
      </c>
      <c r="G95" s="337">
        <f>'6.Cons Profit &amp; Loss'!E51</f>
        <v>5523609.916557889</v>
      </c>
      <c r="H95" s="337">
        <f>'6.Cons Profit &amp; Loss'!F51</f>
        <v>6691503.41472621</v>
      </c>
      <c r="I95" s="337">
        <f>'6.Cons Profit &amp; Loss'!G51</f>
        <v>8165770.027088789</v>
      </c>
      <c r="J95" s="337">
        <f>'6.Cons Profit &amp; Loss'!H51</f>
        <v>9549101.382814892</v>
      </c>
    </row>
    <row r="96" spans="8:8">
      <c r="B96" s="336" t="str">
        <f>B60</f>
        <v>Add: Deprication</v>
      </c>
      <c r="C96" s="336"/>
      <c r="D96" s="338">
        <f>'6.Cons Profit &amp; Loss'!B42</f>
        <v>1024859.3553</v>
      </c>
      <c r="E96" s="338">
        <f>'6.Cons Profit &amp; Loss'!C42</f>
        <v>1024859.3553</v>
      </c>
      <c r="F96" s="338">
        <f>'6.Cons Profit &amp; Loss'!D42</f>
        <v>1024859.3553</v>
      </c>
      <c r="G96" s="338">
        <f>'6.Cons Profit &amp; Loss'!E42</f>
        <v>1024859.3553</v>
      </c>
      <c r="H96" s="338">
        <f>'6.Cons Profit &amp; Loss'!F42</f>
        <v>1024859.3553</v>
      </c>
      <c r="I96" s="338">
        <f>'6.Cons Profit &amp; Loss'!G42</f>
        <v>1024859.3553</v>
      </c>
      <c r="J96" s="338">
        <f>'6.Cons Profit &amp; Loss'!H42</f>
        <v>1024859.3553</v>
      </c>
    </row>
    <row r="97" spans="8:8">
      <c r="B97" s="336" t="str">
        <f>B61</f>
        <v>Add. Preliminary exp Written off</v>
      </c>
      <c r="C97" s="336"/>
      <c r="D97" s="338">
        <f>'6.Cons Profit &amp; Loss'!B43</f>
        <v>272278.4</v>
      </c>
      <c r="E97" s="338">
        <f>'6.Cons Profit &amp; Loss'!C43</f>
        <v>272278.4</v>
      </c>
      <c r="F97" s="338">
        <f>'6.Cons Profit &amp; Loss'!D43</f>
        <v>272278.4</v>
      </c>
      <c r="G97" s="338">
        <f>'6.Cons Profit &amp; Loss'!E43</f>
        <v>272278.4</v>
      </c>
      <c r="H97" s="338">
        <f>'6.Cons Profit &amp; Loss'!F43</f>
        <v>272278.4</v>
      </c>
      <c r="I97" s="338">
        <f>'6.Cons Profit &amp; Loss'!G43</f>
        <v>0.0</v>
      </c>
      <c r="J97" s="338">
        <f>'6.Cons Profit &amp; Loss'!H43</f>
        <v>0.0</v>
      </c>
    </row>
    <row r="98" spans="8:8">
      <c r="B98" s="336" t="str">
        <f>B63</f>
        <v>Net Cash Accrual (A)      </v>
      </c>
      <c r="C98" s="336"/>
      <c r="D98" s="339">
        <f>SUM(D95:D97)</f>
        <v>3602591.0188037897</v>
      </c>
      <c r="E98" s="339">
        <f t="shared" si="10" ref="E98:J98">SUM(E95:E97)</f>
        <v>4779353.20685509</v>
      </c>
      <c r="F98" s="339">
        <f t="shared" si="10"/>
        <v>5752554.574026501</v>
      </c>
      <c r="G98" s="339">
        <f t="shared" si="10"/>
        <v>6820747.67185789</v>
      </c>
      <c r="H98" s="339">
        <f t="shared" si="10"/>
        <v>7988641.17002621</v>
      </c>
      <c r="I98" s="339">
        <f t="shared" si="10"/>
        <v>9190629.38238879</v>
      </c>
      <c r="J98" s="339">
        <f t="shared" si="10"/>
        <v>1.0573960738114892E7</v>
      </c>
    </row>
    <row r="99" spans="8:8">
      <c r="B99" s="334" t="s">
        <v>284</v>
      </c>
      <c r="C99" s="340"/>
      <c r="D99" s="341">
        <f>D98-C94</f>
        <v>-2.498664998119621E7</v>
      </c>
      <c r="E99" s="341">
        <f>D99+E98</f>
        <v>-2.0207296774341106E7</v>
      </c>
      <c r="F99" s="341">
        <f>E99+F98</f>
        <v>-1.44547422003146E7</v>
      </c>
      <c r="G99" s="341">
        <f>F99+G98</f>
        <v>-7633994.52845671</v>
      </c>
      <c r="H99" s="341">
        <f>G99+H98</f>
        <v>354646.64156949986</v>
      </c>
      <c r="I99" s="342"/>
      <c r="J99" s="342"/>
    </row>
    <row r="100" spans="8:8">
      <c r="B100" s="343"/>
      <c r="C100" s="343"/>
      <c r="D100" s="343"/>
      <c r="E100" s="343"/>
      <c r="F100" s="343"/>
      <c r="G100" s="343"/>
      <c r="H100" s="343"/>
      <c r="I100" s="343"/>
      <c r="J100" s="343"/>
    </row>
    <row r="101" spans="8:8">
      <c r="B101" s="344" t="s">
        <v>285</v>
      </c>
      <c r="C101" s="343"/>
      <c r="D101" s="345">
        <f>4+(-G99/H98)</f>
        <v>4.955606137011116</v>
      </c>
      <c r="E101" s="343"/>
      <c r="F101" s="343"/>
      <c r="G101" s="343"/>
      <c r="H101" s="343"/>
      <c r="I101" s="343"/>
      <c r="J101" s="343"/>
    </row>
    <row r="102" spans="8:8">
      <c r="B102" s="343"/>
      <c r="C102" s="343"/>
      <c r="D102" s="343"/>
      <c r="E102" s="343"/>
      <c r="F102" s="343"/>
      <c r="G102" s="343"/>
      <c r="H102" s="343"/>
      <c r="I102" s="343"/>
      <c r="J102" s="343"/>
    </row>
    <row r="103" spans="8:8">
      <c r="B103" s="331" t="s">
        <v>438</v>
      </c>
      <c r="C103" s="331"/>
      <c r="D103" s="331"/>
      <c r="E103" s="331"/>
      <c r="F103" s="331"/>
      <c r="G103" s="331"/>
      <c r="H103" s="331"/>
      <c r="I103" s="331"/>
      <c r="J103" s="331"/>
    </row>
    <row r="105" spans="8:8" ht="18.75">
      <c r="B105" s="30" t="s">
        <v>588</v>
      </c>
      <c r="C105" s="30"/>
      <c r="D105" s="30"/>
      <c r="E105" s="30"/>
      <c r="F105" s="30"/>
      <c r="G105" s="30"/>
      <c r="H105" s="30"/>
      <c r="I105" s="30"/>
    </row>
    <row r="107" spans="8:8" ht="15.75">
      <c r="B107" s="325" t="s">
        <v>0</v>
      </c>
      <c r="C107" s="325" t="s">
        <v>2</v>
      </c>
      <c r="D107" s="325" t="s">
        <v>3</v>
      </c>
      <c r="E107" s="325" t="s">
        <v>4</v>
      </c>
      <c r="F107" s="325" t="s">
        <v>5</v>
      </c>
      <c r="G107" s="325" t="s">
        <v>6</v>
      </c>
      <c r="H107" s="325" t="s">
        <v>169</v>
      </c>
      <c r="I107" s="325" t="s">
        <v>168</v>
      </c>
    </row>
    <row r="108" spans="8:8" ht="15.75">
      <c r="B108" s="326"/>
      <c r="C108" s="327"/>
      <c r="D108" s="327"/>
      <c r="E108" s="327"/>
      <c r="F108" s="327"/>
      <c r="G108" s="327"/>
      <c r="H108" s="327"/>
      <c r="I108" s="327"/>
    </row>
    <row r="109" spans="8:8">
      <c r="B109" s="120" t="s">
        <v>344</v>
      </c>
      <c r="C109" s="122">
        <f>'6.Cons Profit &amp; Loss'!B40</f>
        <v>5011681.535996497</v>
      </c>
      <c r="D109" s="122">
        <f>'6.Cons Profit &amp; Loss'!C40</f>
        <v>6999961.80759199</v>
      </c>
      <c r="E109" s="122">
        <f>'6.Cons Profit &amp; Loss'!D40</f>
        <v>8477807.010398</v>
      </c>
      <c r="F109" s="122">
        <f>'6.Cons Profit &amp; Loss'!E40</f>
        <v>1.0076848891126007E7</v>
      </c>
      <c r="G109" s="122">
        <f>'6.Cons Profit &amp; Loss'!F40</f>
        <v>1.1805176869015008E7</v>
      </c>
      <c r="H109" s="122">
        <f>'6.Cons Profit &amp; Loss'!G40</f>
        <v>1.3671345063529998E7</v>
      </c>
      <c r="I109" s="122">
        <f>'6.Cons Profit &amp; Loss'!H40</f>
        <v>1.5684394415843993E7</v>
      </c>
    </row>
    <row r="110" spans="8:8">
      <c r="B110" s="120" t="s">
        <v>354</v>
      </c>
      <c r="C110" s="122">
        <f>'6.Cons Profit &amp; Loss'!B42</f>
        <v>1024859.3553</v>
      </c>
      <c r="D110" s="122">
        <f>'6.Cons Profit &amp; Loss'!C42</f>
        <v>1024859.3553</v>
      </c>
      <c r="E110" s="122">
        <f>'6.Cons Profit &amp; Loss'!D42</f>
        <v>1024859.3553</v>
      </c>
      <c r="F110" s="122">
        <f>'6.Cons Profit &amp; Loss'!E42</f>
        <v>1024859.3553</v>
      </c>
      <c r="G110" s="122">
        <f>'6.Cons Profit &amp; Loss'!F42</f>
        <v>1024859.3553</v>
      </c>
      <c r="H110" s="122">
        <f>'6.Cons Profit &amp; Loss'!G42</f>
        <v>1024859.3553</v>
      </c>
      <c r="I110" s="122">
        <f>'6.Cons Profit &amp; Loss'!H42</f>
        <v>1024859.3553</v>
      </c>
    </row>
    <row r="111" spans="8:8">
      <c r="B111" s="120" t="s">
        <v>355</v>
      </c>
      <c r="C111" s="122">
        <f>'6.Cons Profit &amp; Loss'!B43</f>
        <v>272278.4</v>
      </c>
      <c r="D111" s="122">
        <f>'6.Cons Profit &amp; Loss'!C43</f>
        <v>272278.4</v>
      </c>
      <c r="E111" s="122">
        <f>'6.Cons Profit &amp; Loss'!D43</f>
        <v>272278.4</v>
      </c>
      <c r="F111" s="122">
        <f>'6.Cons Profit &amp; Loss'!E43</f>
        <v>272278.4</v>
      </c>
      <c r="G111" s="122">
        <f>'6.Cons Profit &amp; Loss'!F43</f>
        <v>272278.4</v>
      </c>
      <c r="H111" s="122">
        <f>'6.Cons Profit &amp; Loss'!G43</f>
        <v>0.0</v>
      </c>
      <c r="I111" s="122">
        <f>'6.Cons Profit &amp; Loss'!H43</f>
        <v>0.0</v>
      </c>
    </row>
    <row r="112" spans="8:8">
      <c r="B112" s="120" t="s">
        <v>726</v>
      </c>
      <c r="C112" s="122">
        <f>'8.Cash Flow '!C26+'8.Cash Flow '!C28</f>
        <v>1285549.947072459</v>
      </c>
      <c r="D112" s="122">
        <f>'8.Cash Flow '!D26+'8.Cash Flow '!D28</f>
        <v>1565466.851504026</v>
      </c>
      <c r="E112" s="122">
        <f>'8.Cash Flow '!E26+'8.Cash Flow '!E28</f>
        <v>1623868.387020965</v>
      </c>
      <c r="F112" s="122">
        <f>'8.Cash Flow '!F26+'8.Cash Flow '!F28</f>
        <v>1687249.691899644</v>
      </c>
      <c r="G112" s="122">
        <f>'8.Cash Flow '!G26+'8.Cash Flow '!G28</f>
        <v>1755864.144758792</v>
      </c>
      <c r="H112" s="122">
        <f>'8.Cash Flow '!H26+'8.Cash Flow '!H28</f>
        <v>1829969.829362549</v>
      </c>
      <c r="I112" s="122">
        <f>'8.Cash Flow '!I26+'8.Cash Flow '!I28</f>
        <v>1909828.6924790856</v>
      </c>
    </row>
    <row r="113" spans="8:8">
      <c r="B113" s="123" t="s">
        <v>1</v>
      </c>
      <c r="C113" s="346">
        <f>SUM(C109:C112)</f>
        <v>7594369.238368956</v>
      </c>
      <c r="D113" s="346">
        <f t="shared" si="11" ref="D113:I113">SUM(D109:D112)</f>
        <v>9862566.414396016</v>
      </c>
      <c r="E113" s="346">
        <f t="shared" si="11"/>
        <v>1.1398813152718965E7</v>
      </c>
      <c r="F113" s="346">
        <f t="shared" si="11"/>
        <v>1.3061236338325651E7</v>
      </c>
      <c r="G113" s="346">
        <f t="shared" si="11"/>
        <v>1.4858178769073801E7</v>
      </c>
      <c r="H113" s="346">
        <f t="shared" si="11"/>
        <v>1.6526174248192547E7</v>
      </c>
      <c r="I113" s="346">
        <f t="shared" si="11"/>
        <v>1.861908246362308E7</v>
      </c>
    </row>
    <row r="114" spans="8:8">
      <c r="B114" s="120"/>
      <c r="C114" s="120"/>
      <c r="D114" s="120"/>
      <c r="E114" s="120"/>
      <c r="F114" s="120"/>
      <c r="G114" s="120"/>
      <c r="H114" s="120"/>
      <c r="I114" s="120"/>
    </row>
    <row r="115" spans="8:8">
      <c r="B115" s="136" t="s">
        <v>286</v>
      </c>
      <c r="C115" s="347">
        <f>'8.Cash Flow '!C25+'8.Cash Flow '!C26+'8.Cash Flow '!C28+('8.Cash Flow '!C27*0.4)</f>
        <v>3825551.3290286902</v>
      </c>
      <c r="D115" s="347">
        <f>'8.Cash Flow '!D25+'8.Cash Flow '!D26+'8.Cash Flow '!D28+('8.Cash Flow '!D27*0.4)</f>
        <v>5855774.94555844</v>
      </c>
      <c r="E115" s="347">
        <f>'8.Cash Flow '!E25+'8.Cash Flow '!E26+'8.Cash Flow '!E28+('8.Cash Flow '!E27*0.4)</f>
        <v>6501185.74225539</v>
      </c>
      <c r="F115" s="347">
        <f>'8.Cash Flow '!F25+'8.Cash Flow '!F26+'8.Cash Flow '!F28+('8.Cash Flow '!F27*0.4)</f>
        <v>7200739.35654024</v>
      </c>
      <c r="G115" s="347">
        <f>'8.Cash Flow '!G25+'8.Cash Flow '!G26+'8.Cash Flow '!G28+('8.Cash Flow '!G27*0.4)</f>
        <v>7958236.54317994</v>
      </c>
      <c r="H115" s="347">
        <f>'8.Cash Flow '!H25+'8.Cash Flow '!H26+'8.Cash Flow '!H28+('8.Cash Flow '!H27*0.4)</f>
        <v>8777722.77537437</v>
      </c>
      <c r="I115" s="347">
        <f>'8.Cash Flow '!I25+'8.Cash Flow '!I26+'8.Cash Flow '!I28+('8.Cash Flow '!I27*0.4)</f>
        <v>9663503.21471228</v>
      </c>
    </row>
    <row r="116" spans="8:8">
      <c r="B116" s="120"/>
      <c r="C116" s="120"/>
      <c r="D116" s="120"/>
      <c r="E116" s="120"/>
      <c r="F116" s="120"/>
      <c r="G116" s="120"/>
      <c r="H116" s="120"/>
      <c r="I116" s="120"/>
    </row>
    <row r="117" spans="8:8">
      <c r="B117" s="348" t="s">
        <v>342</v>
      </c>
      <c r="C117" s="349">
        <f>C113/C115</f>
        <v>1.9851698710044943</v>
      </c>
      <c r="D117" s="349">
        <f t="shared" si="12" ref="D117:I117">D113/D115</f>
        <v>1.6842461512078255</v>
      </c>
      <c r="E117" s="349">
        <f t="shared" si="12"/>
        <v>1.75334371369068</v>
      </c>
      <c r="F117" s="349">
        <f t="shared" si="12"/>
        <v>1.8138743386764133</v>
      </c>
      <c r="G117" s="349">
        <f t="shared" si="12"/>
        <v>1.8670189920161373</v>
      </c>
      <c r="H117" s="349">
        <f t="shared" si="12"/>
        <v>1.8827405092532905</v>
      </c>
      <c r="I117" s="349">
        <f t="shared" si="12"/>
        <v>1.9267425125161963</v>
      </c>
    </row>
    <row r="118" spans="8:8">
      <c r="B118" s="115"/>
      <c r="C118" s="115"/>
      <c r="D118" s="115"/>
      <c r="E118" s="115"/>
      <c r="F118" s="115"/>
      <c r="G118" s="115"/>
      <c r="H118" s="115"/>
      <c r="I118" s="115"/>
    </row>
    <row r="119" spans="8:8">
      <c r="B119" s="115" t="s">
        <v>343</v>
      </c>
      <c r="C119" s="192">
        <f>AVERAGE(C117:I117)</f>
        <v>1.844733726909291</v>
      </c>
      <c r="D119" s="115"/>
      <c r="E119" s="115"/>
      <c r="F119" s="115"/>
      <c r="G119" s="115"/>
      <c r="H119" s="115"/>
      <c r="I119" s="115"/>
    </row>
    <row r="121" spans="8:8" ht="29.85" customHeight="1">
      <c r="B121" s="114" t="s">
        <v>439</v>
      </c>
      <c r="C121" s="114"/>
      <c r="D121" s="114"/>
      <c r="E121" s="114"/>
      <c r="F121" s="114"/>
      <c r="G121" s="114"/>
      <c r="H121" s="114"/>
      <c r="I121" s="114"/>
      <c r="J121" s="114"/>
    </row>
    <row r="123" spans="8:8" ht="18.75">
      <c r="B123" s="350" t="s">
        <v>589</v>
      </c>
      <c r="C123" s="351"/>
      <c r="D123" s="351"/>
      <c r="E123" s="351"/>
      <c r="F123" s="351"/>
      <c r="G123" s="351"/>
      <c r="H123" s="351"/>
      <c r="I123" s="351"/>
    </row>
    <row r="124" spans="8:8">
      <c r="B124" s="195" t="s">
        <v>356</v>
      </c>
      <c r="C124" s="196" t="s">
        <v>2</v>
      </c>
      <c r="D124" s="196" t="s">
        <v>3</v>
      </c>
      <c r="E124" s="196" t="s">
        <v>4</v>
      </c>
      <c r="F124" s="196" t="s">
        <v>5</v>
      </c>
      <c r="G124" s="196" t="s">
        <v>6</v>
      </c>
      <c r="H124" s="196" t="s">
        <v>169</v>
      </c>
      <c r="I124" s="196" t="s">
        <v>168</v>
      </c>
    </row>
    <row r="125" spans="8:8">
      <c r="B125" s="285" t="str">
        <f>'6.Cons Profit &amp; Loss'!A8</f>
        <v>Faclitiy 1 - Cleaning &amp; Grading</v>
      </c>
      <c r="C125" s="352">
        <f>'6.Cons Profit &amp; Loss'!B8*(1+$M$126)</f>
        <v>1.0333752190453126E8</v>
      </c>
      <c r="D125" s="352">
        <f>'6.Cons Profit &amp; Loss'!C8*(1+$M$126)</f>
        <v>1.2627120001141407E8</v>
      </c>
      <c r="E125" s="352">
        <f>'6.Cons Profit &amp; Loss'!D8*(1+$M$126)</f>
        <v>1.4590986152072698E8</v>
      </c>
      <c r="F125" s="352">
        <f>'6.Cons Profit &amp; Loss'!E8*(1+$M$126)</f>
        <v>1.6719671118094262E8</v>
      </c>
      <c r="G125" s="352">
        <f>'6.Cons Profit &amp; Loss'!F8*(1+$M$126)</f>
        <v>1.9024747115337798E8</v>
      </c>
      <c r="H125" s="352">
        <f>'6.Cons Profit &amp; Loss'!G8*(1+$M$126)</f>
        <v>2.1518531534510458E8</v>
      </c>
      <c r="I125" s="352">
        <f>'6.Cons Profit &amp; Loss'!H8*(1+$M$126)</f>
        <v>2.4214132527812034E8</v>
      </c>
    </row>
    <row r="126" spans="8:8">
      <c r="B126" s="285" t="str">
        <f>'6.Cons Profit &amp; Loss'!A9</f>
        <v>Faclitiy 2 - Processing Unit- Dal Mill</v>
      </c>
      <c r="C126" s="352">
        <f>'6.Cons Profit &amp; Loss'!B9*(1+$M$126)</f>
        <v>0.0</v>
      </c>
      <c r="D126" s="352">
        <f>'6.Cons Profit &amp; Loss'!C9*(1+$M$126)</f>
        <v>0.0</v>
      </c>
      <c r="E126" s="352">
        <f>'6.Cons Profit &amp; Loss'!D9*(1+$M$126)</f>
        <v>0.0</v>
      </c>
      <c r="F126" s="352">
        <f>'6.Cons Profit &amp; Loss'!E9*(1+$M$126)</f>
        <v>0.0</v>
      </c>
      <c r="G126" s="352">
        <f>'6.Cons Profit &amp; Loss'!F9*(1+$M$126)</f>
        <v>0.0</v>
      </c>
      <c r="H126" s="352">
        <f>'6.Cons Profit &amp; Loss'!G9*(1+$M$126)</f>
        <v>0.0</v>
      </c>
      <c r="I126" s="352">
        <f>'6.Cons Profit &amp; Loss'!H9*(1+$M$126)</f>
        <v>0.0</v>
      </c>
      <c r="L126" s="353" t="s">
        <v>377</v>
      </c>
      <c r="M126" s="354">
        <v>0.05</v>
      </c>
    </row>
    <row r="127" spans="8:8">
      <c r="B127" s="285" t="str">
        <f>'6.Cons Profit &amp; Loss'!A10</f>
        <v>Faclitiy 3 - Warehouse</v>
      </c>
      <c r="C127" s="352">
        <f>'6.Cons Profit &amp; Loss'!B10*(1+$M$126)</f>
        <v>0.0</v>
      </c>
      <c r="D127" s="352">
        <f>'6.Cons Profit &amp; Loss'!C10*(1+$M$126)</f>
        <v>0.0</v>
      </c>
      <c r="E127" s="352">
        <f>'6.Cons Profit &amp; Loss'!D10*(1+$M$126)</f>
        <v>0.0</v>
      </c>
      <c r="F127" s="352">
        <f>'6.Cons Profit &amp; Loss'!E10*(1+$M$126)</f>
        <v>0.0</v>
      </c>
      <c r="G127" s="352">
        <f>'6.Cons Profit &amp; Loss'!F10*(1+$M$126)</f>
        <v>0.0</v>
      </c>
      <c r="H127" s="352">
        <f>'6.Cons Profit &amp; Loss'!G10*(1+$M$126)</f>
        <v>0.0</v>
      </c>
      <c r="I127" s="352">
        <f>'6.Cons Profit &amp; Loss'!H10*(1+$M$126)</f>
        <v>0.0</v>
      </c>
      <c r="L127" s="353" t="s">
        <v>378</v>
      </c>
      <c r="M127" s="354">
        <v>0.05</v>
      </c>
    </row>
    <row r="128" spans="8:8">
      <c r="B128" s="285" t="str">
        <f>'6.Cons Profit &amp; Loss'!A11</f>
        <v>Faclitiy 4 - Custom Hiring </v>
      </c>
      <c r="C128" s="352">
        <f>'6.Cons Profit &amp; Loss'!B11*(1+$M$126)</f>
        <v>0.0</v>
      </c>
      <c r="D128" s="352">
        <f>'6.Cons Profit &amp; Loss'!C11*(1+$M$126)</f>
        <v>0.0</v>
      </c>
      <c r="E128" s="352">
        <f>'6.Cons Profit &amp; Loss'!D11*(1+$M$126)</f>
        <v>0.0</v>
      </c>
      <c r="F128" s="352">
        <f>'6.Cons Profit &amp; Loss'!E11*(1+$M$126)</f>
        <v>0.0</v>
      </c>
      <c r="G128" s="352">
        <f>'6.Cons Profit &amp; Loss'!F11*(1+$M$126)</f>
        <v>0.0</v>
      </c>
      <c r="H128" s="352">
        <f>'6.Cons Profit &amp; Loss'!G11*(1+$M$126)</f>
        <v>0.0</v>
      </c>
      <c r="I128" s="352">
        <f>'6.Cons Profit &amp; Loss'!H11*(1+$M$126)</f>
        <v>0.0</v>
      </c>
    </row>
    <row r="129" spans="8:8">
      <c r="B129" s="285" t="str">
        <f>'6.Cons Profit &amp; Loss'!A12</f>
        <v>Faclitiy 5 - Agri Input Centre</v>
      </c>
      <c r="C129" s="352">
        <f>'6.Cons Profit &amp; Loss'!B12*(1+$M$126)</f>
        <v>0.0</v>
      </c>
      <c r="D129" s="352">
        <f>'6.Cons Profit &amp; Loss'!C12*(1+$M$126)</f>
        <v>0.0</v>
      </c>
      <c r="E129" s="352">
        <f>'6.Cons Profit &amp; Loss'!D12*(1+$M$126)</f>
        <v>0.0</v>
      </c>
      <c r="F129" s="352">
        <f>'6.Cons Profit &amp; Loss'!E12*(1+$M$126)</f>
        <v>0.0</v>
      </c>
      <c r="G129" s="352">
        <f>'6.Cons Profit &amp; Loss'!F12*(1+$M$126)</f>
        <v>0.0</v>
      </c>
      <c r="H129" s="352">
        <f>'6.Cons Profit &amp; Loss'!G12*(1+$M$126)</f>
        <v>0.0</v>
      </c>
      <c r="I129" s="352">
        <f>'6.Cons Profit &amp; Loss'!H12*(1+$M$126)</f>
        <v>0.0</v>
      </c>
    </row>
    <row r="130" spans="8:8" ht="30.0">
      <c r="B130" s="285" t="str">
        <f>'6.Cons Profit &amp; Loss'!A13</f>
        <v>Facility 6 - Processing Unit - Horti Commodity</v>
      </c>
      <c r="C130" s="352">
        <f>'6.Cons Profit &amp; Loss'!B13*(1+$M$126)</f>
        <v>0.0</v>
      </c>
      <c r="D130" s="352">
        <f>'6.Cons Profit &amp; Loss'!C13*(1+$M$126)</f>
        <v>0.0</v>
      </c>
      <c r="E130" s="352">
        <f>'6.Cons Profit &amp; Loss'!D13*(1+$M$126)</f>
        <v>0.0</v>
      </c>
      <c r="F130" s="352">
        <f>'6.Cons Profit &amp; Loss'!E13*(1+$M$126)</f>
        <v>0.0</v>
      </c>
      <c r="G130" s="352">
        <f>'6.Cons Profit &amp; Loss'!F13*(1+$M$126)</f>
        <v>0.0</v>
      </c>
      <c r="H130" s="352">
        <f>'6.Cons Profit &amp; Loss'!G13*(1+$M$126)</f>
        <v>0.0</v>
      </c>
      <c r="I130" s="352">
        <f>'6.Cons Profit &amp; Loss'!H13*(1+$M$126)</f>
        <v>0.0</v>
      </c>
    </row>
    <row r="131" spans="8:8">
      <c r="B131" s="285">
        <f>'6.Cons Profit &amp; Loss'!A14</f>
        <v>0.0</v>
      </c>
      <c r="C131" s="352">
        <f>'6.Cons Profit &amp; Loss'!B14*(1+$M$126)</f>
        <v>0.0</v>
      </c>
      <c r="D131" s="352">
        <f>'6.Cons Profit &amp; Loss'!C14*(1+$M$126)</f>
        <v>0.0</v>
      </c>
      <c r="E131" s="352">
        <f>'6.Cons Profit &amp; Loss'!D14*(1+$M$126)</f>
        <v>0.0</v>
      </c>
      <c r="F131" s="352">
        <f>'6.Cons Profit &amp; Loss'!E14*(1+$M$126)</f>
        <v>0.0</v>
      </c>
      <c r="G131" s="352">
        <f>'6.Cons Profit &amp; Loss'!F14*(1+$M$126)</f>
        <v>0.0</v>
      </c>
      <c r="H131" s="352">
        <f>'6.Cons Profit &amp; Loss'!G14*(1+$M$126)</f>
        <v>0.0</v>
      </c>
      <c r="I131" s="352">
        <f>'6.Cons Profit &amp; Loss'!H14*(1+$M$126)</f>
        <v>0.0</v>
      </c>
    </row>
    <row r="132" spans="8:8">
      <c r="B132" s="285" t="s">
        <v>357</v>
      </c>
      <c r="C132" s="352">
        <f>SUM(C125:C131)</f>
        <v>1.0333752190453126E8</v>
      </c>
      <c r="D132" s="352">
        <f t="shared" si="13" ref="D132:I132">SUM(D125:D131)</f>
        <v>1.2627120001141407E8</v>
      </c>
      <c r="E132" s="352">
        <f t="shared" si="13"/>
        <v>1.4590986152072698E8</v>
      </c>
      <c r="F132" s="352">
        <f t="shared" si="13"/>
        <v>1.6719671118094262E8</v>
      </c>
      <c r="G132" s="352">
        <f t="shared" si="13"/>
        <v>1.9024747115337798E8</v>
      </c>
      <c r="H132" s="352">
        <f t="shared" si="13"/>
        <v>2.1518531534510458E8</v>
      </c>
      <c r="I132" s="352">
        <f t="shared" si="13"/>
        <v>2.4214132527812034E8</v>
      </c>
    </row>
    <row r="133" spans="8:8">
      <c r="B133" s="285" t="s">
        <v>358</v>
      </c>
      <c r="C133" s="352"/>
      <c r="D133" s="352"/>
      <c r="E133" s="352"/>
      <c r="F133" s="352"/>
      <c r="G133" s="352"/>
      <c r="H133" s="352"/>
      <c r="I133" s="352"/>
    </row>
    <row r="134" spans="8:8" ht="30.0">
      <c r="B134" s="285" t="s">
        <v>359</v>
      </c>
      <c r="C134" s="352">
        <f>'6.Cons Profit &amp; Loss'!B36</f>
        <v>3607429.689341</v>
      </c>
      <c r="D134" s="352">
        <f>'6.Cons Profit &amp; Loss'!C36</f>
        <v>3792750.908682</v>
      </c>
      <c r="E134" s="352">
        <f>'6.Cons Profit &amp; Loss'!D36</f>
        <v>3996375.4780230005</v>
      </c>
      <c r="F134" s="352">
        <f>'6.Cons Profit &amp; Loss'!E36</f>
        <v>4219968.564864</v>
      </c>
      <c r="G134" s="352">
        <f>'6.Cons Profit &amp; Loss'!F36</f>
        <v>4465353.595080001</v>
      </c>
      <c r="H134" s="352">
        <f>'6.Cons Profit &amp; Loss'!G36</f>
        <v>4734527.665839751</v>
      </c>
      <c r="I134" s="352">
        <f>'6.Cons Profit &amp; Loss'!H36</f>
        <v>5029678.47917044</v>
      </c>
    </row>
    <row r="135" spans="8:8">
      <c r="B135" s="285" t="s">
        <v>314</v>
      </c>
      <c r="C135" s="352">
        <f>'6.Cons Profit &amp; Loss'!B25*(1+M126)</f>
        <v>9.428745511792688E7</v>
      </c>
      <c r="D135" s="352">
        <f>'6.Cons Profit &amp; Loss'!C25*(1+N126)</f>
        <v>1.0946557300888175E8</v>
      </c>
      <c r="E135" s="352">
        <f>'6.Cons Profit &amp; Loss'!D25*(1+O126)</f>
        <v>1.2648759038846204E8</v>
      </c>
      <c r="F135" s="352">
        <f>'6.Cons Profit &amp; Loss'!E25*(1+P126)</f>
        <v>1.4493814557347938E8</v>
      </c>
      <c r="G135" s="352">
        <f>'6.Cons Profit &amp; Loss'!F25*(1+Q126)</f>
        <v>1.649175373010274E8</v>
      </c>
      <c r="H135" s="352">
        <f>'6.Cons Profit &amp; Loss'!G25*(1+R126)</f>
        <v>1.865325228373958E8</v>
      </c>
      <c r="I135" s="352">
        <f>'6.Cons Profit &amp; Loss'!H25*(1+S126)</f>
        <v>2.098967130841483E8</v>
      </c>
    </row>
    <row r="136" spans="8:8">
      <c r="B136" s="285" t="s">
        <v>360</v>
      </c>
      <c r="C136" s="352">
        <f t="shared" si="14" ref="C136:I136">SUM(C134:C135)</f>
        <v>9.789488480726787E7</v>
      </c>
      <c r="D136" s="352">
        <f t="shared" si="14"/>
        <v>1.1325832391756375E8</v>
      </c>
      <c r="E136" s="352">
        <f t="shared" si="14"/>
        <v>1.3048396586648504E8</v>
      </c>
      <c r="F136" s="352">
        <f t="shared" si="14"/>
        <v>1.491581141383434E8</v>
      </c>
      <c r="G136" s="352">
        <f t="shared" si="14"/>
        <v>1.6938289089610738E8</v>
      </c>
      <c r="H136" s="352">
        <f t="shared" si="14"/>
        <v>1.9126705050323555E8</v>
      </c>
      <c r="I136" s="352">
        <f t="shared" si="14"/>
        <v>2.1492639156331873E8</v>
      </c>
    </row>
    <row r="137" spans="8:8">
      <c r="B137" s="280" t="s">
        <v>361</v>
      </c>
      <c r="C137" s="355">
        <f t="shared" si="15" ref="C137:I137">+C132-C136</f>
        <v>5442637.097263098</v>
      </c>
      <c r="D137" s="355">
        <f t="shared" si="15"/>
        <v>1.3012876093850002E7</v>
      </c>
      <c r="E137" s="355">
        <f t="shared" si="15"/>
        <v>1.5425895654242009E7</v>
      </c>
      <c r="F137" s="355">
        <f t="shared" si="15"/>
        <v>1.8038597042600006E7</v>
      </c>
      <c r="G137" s="355">
        <f t="shared" si="15"/>
        <v>2.086458025727102E7</v>
      </c>
      <c r="H137" s="355">
        <f t="shared" si="15"/>
        <v>2.3918264841868997E7</v>
      </c>
      <c r="I137" s="355">
        <f t="shared" si="15"/>
        <v>2.7214933714801013E7</v>
      </c>
    </row>
    <row r="138" spans="8:8">
      <c r="B138" s="356"/>
      <c r="C138" s="357"/>
      <c r="D138" s="357"/>
      <c r="E138" s="357"/>
      <c r="F138" s="357"/>
      <c r="G138" s="357"/>
      <c r="H138" s="357"/>
      <c r="I138" s="357"/>
    </row>
    <row r="139" spans="8:8">
      <c r="B139" s="358" t="s">
        <v>362</v>
      </c>
      <c r="C139" s="196" t="s">
        <v>2</v>
      </c>
      <c r="D139" s="196" t="s">
        <v>3</v>
      </c>
      <c r="E139" s="196" t="s">
        <v>4</v>
      </c>
      <c r="F139" s="196" t="s">
        <v>5</v>
      </c>
      <c r="G139" s="196" t="s">
        <v>6</v>
      </c>
      <c r="H139" s="196" t="s">
        <v>169</v>
      </c>
      <c r="I139" s="196" t="s">
        <v>168</v>
      </c>
    </row>
    <row r="140" spans="8:8">
      <c r="B140" s="285" t="str">
        <f t="shared" si="16" ref="B140:B146">B125</f>
        <v>Faclitiy 1 - Cleaning &amp; Grading</v>
      </c>
      <c r="C140" s="359">
        <f>'6.Cons Profit &amp; Loss'!B8</f>
        <v>9.8416687528125E7</v>
      </c>
      <c r="D140" s="359">
        <f>'6.Cons Profit &amp; Loss'!C8</f>
        <v>1.2025828572515625E8</v>
      </c>
      <c r="E140" s="359">
        <f>'6.Cons Profit &amp; Loss'!D8</f>
        <v>1.3896177287688282E8</v>
      </c>
      <c r="F140" s="359">
        <f>'6.Cons Profit &amp; Loss'!E8</f>
        <v>1.5923496302946916E8</v>
      </c>
      <c r="G140" s="359">
        <f>'6.Cons Profit &amp; Loss'!F8</f>
        <v>1.8118806776512188E8</v>
      </c>
      <c r="H140" s="359">
        <f>'6.Cons Profit &amp; Loss'!G8</f>
        <v>2.0493839556676626E8</v>
      </c>
      <c r="I140" s="359">
        <f>'6.Cons Profit &amp; Loss'!H8</f>
        <v>2.3061078597916222E8</v>
      </c>
    </row>
    <row r="141" spans="8:8">
      <c r="B141" s="285" t="str">
        <f t="shared" si="16"/>
        <v>Faclitiy 2 - Processing Unit- Dal Mill</v>
      </c>
      <c r="C141" s="359">
        <f>'6.Cons Profit &amp; Loss'!B9</f>
        <v>0.0</v>
      </c>
      <c r="D141" s="359">
        <f>'6.Cons Profit &amp; Loss'!C9</f>
        <v>0.0</v>
      </c>
      <c r="E141" s="359">
        <f>'6.Cons Profit &amp; Loss'!D9</f>
        <v>0.0</v>
      </c>
      <c r="F141" s="359">
        <f>'6.Cons Profit &amp; Loss'!E9</f>
        <v>0.0</v>
      </c>
      <c r="G141" s="359">
        <f>'6.Cons Profit &amp; Loss'!F9</f>
        <v>0.0</v>
      </c>
      <c r="H141" s="359">
        <f>'6.Cons Profit &amp; Loss'!G9</f>
        <v>0.0</v>
      </c>
      <c r="I141" s="359">
        <f>'6.Cons Profit &amp; Loss'!H9</f>
        <v>0.0</v>
      </c>
    </row>
    <row r="142" spans="8:8">
      <c r="B142" s="285" t="str">
        <f t="shared" si="16"/>
        <v>Faclitiy 3 - Warehouse</v>
      </c>
      <c r="C142" s="359">
        <f>'6.Cons Profit &amp; Loss'!B10</f>
        <v>0.0</v>
      </c>
      <c r="D142" s="359">
        <f>'6.Cons Profit &amp; Loss'!C10</f>
        <v>0.0</v>
      </c>
      <c r="E142" s="359">
        <f>'6.Cons Profit &amp; Loss'!D10</f>
        <v>0.0</v>
      </c>
      <c r="F142" s="359">
        <f>'6.Cons Profit &amp; Loss'!E10</f>
        <v>0.0</v>
      </c>
      <c r="G142" s="359">
        <f>'6.Cons Profit &amp; Loss'!F10</f>
        <v>0.0</v>
      </c>
      <c r="H142" s="359">
        <f>'6.Cons Profit &amp; Loss'!G10</f>
        <v>0.0</v>
      </c>
      <c r="I142" s="359">
        <f>'6.Cons Profit &amp; Loss'!H10</f>
        <v>0.0</v>
      </c>
    </row>
    <row r="143" spans="8:8">
      <c r="B143" s="285" t="str">
        <f t="shared" si="16"/>
        <v>Faclitiy 4 - Custom Hiring </v>
      </c>
      <c r="C143" s="359">
        <f>'6.Cons Profit &amp; Loss'!B11</f>
        <v>0.0</v>
      </c>
      <c r="D143" s="359">
        <f>'6.Cons Profit &amp; Loss'!C11</f>
        <v>0.0</v>
      </c>
      <c r="E143" s="359">
        <f>'6.Cons Profit &amp; Loss'!D11</f>
        <v>0.0</v>
      </c>
      <c r="F143" s="359">
        <f>'6.Cons Profit &amp; Loss'!E11</f>
        <v>0.0</v>
      </c>
      <c r="G143" s="359">
        <f>'6.Cons Profit &amp; Loss'!F11</f>
        <v>0.0</v>
      </c>
      <c r="H143" s="359">
        <f>'6.Cons Profit &amp; Loss'!G11</f>
        <v>0.0</v>
      </c>
      <c r="I143" s="359">
        <f>'6.Cons Profit &amp; Loss'!H11</f>
        <v>0.0</v>
      </c>
    </row>
    <row r="144" spans="8:8">
      <c r="B144" s="285" t="str">
        <f t="shared" si="16"/>
        <v>Faclitiy 5 - Agri Input Centre</v>
      </c>
      <c r="C144" s="359">
        <f>'6.Cons Profit &amp; Loss'!B12</f>
        <v>0.0</v>
      </c>
      <c r="D144" s="359">
        <f>'6.Cons Profit &amp; Loss'!C12</f>
        <v>0.0</v>
      </c>
      <c r="E144" s="359">
        <f>'6.Cons Profit &amp; Loss'!D12</f>
        <v>0.0</v>
      </c>
      <c r="F144" s="359">
        <f>'6.Cons Profit &amp; Loss'!E12</f>
        <v>0.0</v>
      </c>
      <c r="G144" s="359">
        <f>'6.Cons Profit &amp; Loss'!F12</f>
        <v>0.0</v>
      </c>
      <c r="H144" s="359">
        <f>'6.Cons Profit &amp; Loss'!G12</f>
        <v>0.0</v>
      </c>
      <c r="I144" s="359">
        <f>'6.Cons Profit &amp; Loss'!H12</f>
        <v>0.0</v>
      </c>
    </row>
    <row r="145" spans="8:8" ht="30.0">
      <c r="B145" s="285" t="str">
        <f t="shared" si="16"/>
        <v>Facility 6 - Processing Unit - Horti Commodity</v>
      </c>
      <c r="C145" s="359">
        <f>'6.Cons Profit &amp; Loss'!B13</f>
        <v>0.0</v>
      </c>
      <c r="D145" s="359">
        <f>'6.Cons Profit &amp; Loss'!C13</f>
        <v>0.0</v>
      </c>
      <c r="E145" s="359">
        <f>'6.Cons Profit &amp; Loss'!D13</f>
        <v>0.0</v>
      </c>
      <c r="F145" s="359">
        <f>'6.Cons Profit &amp; Loss'!E13</f>
        <v>0.0</v>
      </c>
      <c r="G145" s="359">
        <f>'6.Cons Profit &amp; Loss'!F13</f>
        <v>0.0</v>
      </c>
      <c r="H145" s="359">
        <f>'6.Cons Profit &amp; Loss'!G13</f>
        <v>0.0</v>
      </c>
      <c r="I145" s="359">
        <f>'6.Cons Profit &amp; Loss'!H13</f>
        <v>0.0</v>
      </c>
    </row>
    <row r="146" spans="8:8">
      <c r="B146" s="285">
        <f t="shared" si="16"/>
        <v>0.0</v>
      </c>
      <c r="C146" s="359">
        <f>'6.Cons Profit &amp; Loss'!B14</f>
        <v>0.0</v>
      </c>
      <c r="D146" s="359">
        <f>'6.Cons Profit &amp; Loss'!C14</f>
        <v>0.0</v>
      </c>
      <c r="E146" s="359">
        <f>'6.Cons Profit &amp; Loss'!D14</f>
        <v>0.0</v>
      </c>
      <c r="F146" s="359">
        <f>'6.Cons Profit &amp; Loss'!E14</f>
        <v>0.0</v>
      </c>
      <c r="G146" s="359">
        <f>'6.Cons Profit &amp; Loss'!F14</f>
        <v>0.0</v>
      </c>
      <c r="H146" s="359">
        <f>'6.Cons Profit &amp; Loss'!G14</f>
        <v>0.0</v>
      </c>
      <c r="I146" s="359">
        <f>'6.Cons Profit &amp; Loss'!H14</f>
        <v>0.0</v>
      </c>
    </row>
    <row r="147" spans="8:8">
      <c r="B147" s="285" t="s">
        <v>357</v>
      </c>
      <c r="C147" s="359">
        <f>SUM(C140:C146)</f>
        <v>9.8416687528125E7</v>
      </c>
      <c r="D147" s="359">
        <f t="shared" si="17" ref="D147:I147">SUM(D140:D146)</f>
        <v>1.2025828572515625E8</v>
      </c>
      <c r="E147" s="359">
        <f t="shared" si="17"/>
        <v>1.3896177287688282E8</v>
      </c>
      <c r="F147" s="359">
        <f t="shared" si="17"/>
        <v>1.5923496302946916E8</v>
      </c>
      <c r="G147" s="359">
        <f t="shared" si="17"/>
        <v>1.8118806776512188E8</v>
      </c>
      <c r="H147" s="359">
        <f t="shared" si="17"/>
        <v>2.0493839556676626E8</v>
      </c>
      <c r="I147" s="359">
        <f t="shared" si="17"/>
        <v>2.3061078597916222E8</v>
      </c>
    </row>
    <row r="148" spans="8:8">
      <c r="B148" s="285" t="s">
        <v>358</v>
      </c>
      <c r="C148" s="360"/>
      <c r="D148" s="359"/>
      <c r="E148" s="359"/>
      <c r="F148" s="359"/>
      <c r="G148" s="359"/>
      <c r="H148" s="359"/>
      <c r="I148" s="359"/>
    </row>
    <row r="149" spans="8:8" ht="30.0">
      <c r="B149" s="285" t="s">
        <v>359</v>
      </c>
      <c r="C149" s="361">
        <f>'6.Cons Profit &amp; Loss'!B36</f>
        <v>3607429.689341</v>
      </c>
      <c r="D149" s="361">
        <f>'6.Cons Profit &amp; Loss'!C36</f>
        <v>3792750.908682</v>
      </c>
      <c r="E149" s="361">
        <f>'6.Cons Profit &amp; Loss'!D36</f>
        <v>3996375.4780230005</v>
      </c>
      <c r="F149" s="361">
        <f>'6.Cons Profit &amp; Loss'!E36</f>
        <v>4219968.564864</v>
      </c>
      <c r="G149" s="361">
        <f>'6.Cons Profit &amp; Loss'!F36</f>
        <v>4465353.595080001</v>
      </c>
      <c r="H149" s="361">
        <f>'6.Cons Profit &amp; Loss'!G36</f>
        <v>4734527.665839751</v>
      </c>
      <c r="I149" s="361">
        <f>'6.Cons Profit &amp; Loss'!H36</f>
        <v>5029678.47917044</v>
      </c>
    </row>
    <row r="150" spans="8:8">
      <c r="B150" s="285" t="s">
        <v>314</v>
      </c>
      <c r="C150" s="361">
        <f>'6.Cons Profit &amp; Loss'!B25*(1+$M$127)</f>
        <v>9.428745511792688E7</v>
      </c>
      <c r="D150" s="361">
        <f>'6.Cons Profit &amp; Loss'!C25*(1+$M$127)</f>
        <v>1.1493885165932584E8</v>
      </c>
      <c r="E150" s="361">
        <f>'6.Cons Profit &amp; Loss'!D25*(1+$M$127)</f>
        <v>1.3281196990788515E8</v>
      </c>
      <c r="F150" s="361">
        <f>'6.Cons Profit &amp; Loss'!E25*(1+$M$127)</f>
        <v>1.5218505285215336E8</v>
      </c>
      <c r="G150" s="361">
        <f>'6.Cons Profit &amp; Loss'!F25*(1+$M$127)</f>
        <v>1.7316341416607878E8</v>
      </c>
      <c r="H150" s="361">
        <f>'6.Cons Profit &amp; Loss'!G25*(1+$M$127)</f>
        <v>1.9585914897926557E8</v>
      </c>
      <c r="I150" s="361">
        <f>'6.Cons Profit &amp; Loss'!H25*(1+$M$127)</f>
        <v>2.2039154873835573E8</v>
      </c>
    </row>
    <row r="151" spans="8:8">
      <c r="B151" s="285" t="s">
        <v>360</v>
      </c>
      <c r="C151" s="361">
        <f t="shared" si="18" ref="C151:I151">SUM(C149:C150)</f>
        <v>9.789488480726787E7</v>
      </c>
      <c r="D151" s="361">
        <f t="shared" si="18"/>
        <v>1.1873160256800784E8</v>
      </c>
      <c r="E151" s="361">
        <f t="shared" si="18"/>
        <v>1.3680834538590816E8</v>
      </c>
      <c r="F151" s="361">
        <f t="shared" si="18"/>
        <v>1.5640502141701737E8</v>
      </c>
      <c r="G151" s="361">
        <f t="shared" si="18"/>
        <v>1.7762876776115876E8</v>
      </c>
      <c r="H151" s="361">
        <f t="shared" si="18"/>
        <v>2.0059367664510533E8</v>
      </c>
      <c r="I151" s="361">
        <f t="shared" si="18"/>
        <v>2.2542122721752617E8</v>
      </c>
    </row>
    <row r="152" spans="8:8">
      <c r="B152" s="280" t="s">
        <v>361</v>
      </c>
      <c r="C152" s="362">
        <f t="shared" si="19" ref="C152:I152">+C147-C151</f>
        <v>521802.7208570987</v>
      </c>
      <c r="D152" s="362">
        <f t="shared" si="19"/>
        <v>1526683.1571479887</v>
      </c>
      <c r="E152" s="362">
        <f t="shared" si="19"/>
        <v>2153427.4909749925</v>
      </c>
      <c r="F152" s="362">
        <f t="shared" si="19"/>
        <v>2829941.6124520004</v>
      </c>
      <c r="G152" s="362">
        <f t="shared" si="19"/>
        <v>3559300.0039629936</v>
      </c>
      <c r="H152" s="362">
        <f t="shared" si="19"/>
        <v>4344718.9216609895</v>
      </c>
      <c r="I152" s="362">
        <f t="shared" si="19"/>
        <v>5189558.761636019</v>
      </c>
      <c r="N152" s="236"/>
      <c r="O152" s="308"/>
    </row>
    <row r="153" spans="8:8">
      <c r="B153" s="356"/>
      <c r="C153" s="357"/>
      <c r="D153" s="357"/>
      <c r="E153" s="357"/>
      <c r="F153" s="357"/>
      <c r="G153" s="357"/>
      <c r="H153" s="357"/>
      <c r="I153" s="357"/>
    </row>
    <row r="154" spans="8:8">
      <c r="B154" s="358" t="s">
        <v>363</v>
      </c>
      <c r="C154" s="196" t="s">
        <v>2</v>
      </c>
      <c r="D154" s="196" t="s">
        <v>3</v>
      </c>
      <c r="E154" s="196" t="s">
        <v>4</v>
      </c>
      <c r="F154" s="196" t="s">
        <v>5</v>
      </c>
      <c r="G154" s="196" t="s">
        <v>6</v>
      </c>
      <c r="H154" s="196" t="s">
        <v>169</v>
      </c>
      <c r="I154" s="196" t="s">
        <v>168</v>
      </c>
    </row>
    <row r="155" spans="8:8">
      <c r="B155" s="285" t="str">
        <f t="shared" si="20" ref="B155:B161">B140</f>
        <v>Faclitiy 1 - Cleaning &amp; Grading</v>
      </c>
      <c r="C155" s="352">
        <f>'6.Cons Profit &amp; Loss'!B8*(1-$M$126)</f>
        <v>9.349585315171875E7</v>
      </c>
      <c r="D155" s="352">
        <f>'6.Cons Profit &amp; Loss'!C8*(1-$M$126)</f>
        <v>1.1424537143889843E8</v>
      </c>
      <c r="E155" s="352">
        <f>'6.Cons Profit &amp; Loss'!D8*(1-$M$126)</f>
        <v>1.3201368423303868E8</v>
      </c>
      <c r="F155" s="352">
        <f>'6.Cons Profit &amp; Loss'!E8*(1-$M$126)</f>
        <v>1.512732148779957E8</v>
      </c>
      <c r="G155" s="352">
        <f>'6.Cons Profit &amp; Loss'!F8*(1-$M$126)</f>
        <v>1.7212866437686577E8</v>
      </c>
      <c r="H155" s="352">
        <f>'6.Cons Profit &amp; Loss'!G8*(1-$M$126)</f>
        <v>1.9469147578842795E8</v>
      </c>
      <c r="I155" s="352">
        <f>'6.Cons Profit &amp; Loss'!H8*(1-$M$126)</f>
        <v>2.190802466802041E8</v>
      </c>
    </row>
    <row r="156" spans="8:8">
      <c r="B156" s="285" t="str">
        <f t="shared" si="20"/>
        <v>Faclitiy 2 - Processing Unit- Dal Mill</v>
      </c>
      <c r="C156" s="352">
        <f>'6.Cons Profit &amp; Loss'!B9*(1-$M$126)</f>
        <v>0.0</v>
      </c>
      <c r="D156" s="352">
        <f>'6.Cons Profit &amp; Loss'!C9*(1-$M$126)</f>
        <v>0.0</v>
      </c>
      <c r="E156" s="352">
        <f>'6.Cons Profit &amp; Loss'!D9*(1-$M$126)</f>
        <v>0.0</v>
      </c>
      <c r="F156" s="352">
        <f>'6.Cons Profit &amp; Loss'!E9*(1-$M$126)</f>
        <v>0.0</v>
      </c>
      <c r="G156" s="352">
        <f>'6.Cons Profit &amp; Loss'!F9*(1-$M$126)</f>
        <v>0.0</v>
      </c>
      <c r="H156" s="352">
        <f>'6.Cons Profit &amp; Loss'!G9*(1-$M$126)</f>
        <v>0.0</v>
      </c>
      <c r="I156" s="352">
        <f>'6.Cons Profit &amp; Loss'!H9*(1-$M$126)</f>
        <v>0.0</v>
      </c>
    </row>
    <row r="157" spans="8:8">
      <c r="B157" s="285" t="str">
        <f t="shared" si="20"/>
        <v>Faclitiy 3 - Warehouse</v>
      </c>
      <c r="C157" s="352">
        <f>'6.Cons Profit &amp; Loss'!B10*(1-$M$126)</f>
        <v>0.0</v>
      </c>
      <c r="D157" s="352">
        <f>'6.Cons Profit &amp; Loss'!C10*(1-$M$126)</f>
        <v>0.0</v>
      </c>
      <c r="E157" s="352">
        <f>'6.Cons Profit &amp; Loss'!D10*(1-$M$126)</f>
        <v>0.0</v>
      </c>
      <c r="F157" s="352">
        <f>'6.Cons Profit &amp; Loss'!E10*(1-$M$126)</f>
        <v>0.0</v>
      </c>
      <c r="G157" s="352">
        <f>'6.Cons Profit &amp; Loss'!F10*(1-$M$126)</f>
        <v>0.0</v>
      </c>
      <c r="H157" s="352">
        <f>'6.Cons Profit &amp; Loss'!G10*(1-$M$126)</f>
        <v>0.0</v>
      </c>
      <c r="I157" s="352">
        <f>'6.Cons Profit &amp; Loss'!H10*(1-$M$126)</f>
        <v>0.0</v>
      </c>
    </row>
    <row r="158" spans="8:8">
      <c r="B158" s="285" t="str">
        <f t="shared" si="20"/>
        <v>Faclitiy 4 - Custom Hiring </v>
      </c>
      <c r="C158" s="352">
        <f>'6.Cons Profit &amp; Loss'!B11*(1-$M$126)</f>
        <v>0.0</v>
      </c>
      <c r="D158" s="352">
        <f>'6.Cons Profit &amp; Loss'!C11*(1-$M$126)</f>
        <v>0.0</v>
      </c>
      <c r="E158" s="352">
        <f>'6.Cons Profit &amp; Loss'!D11*(1-$M$126)</f>
        <v>0.0</v>
      </c>
      <c r="F158" s="352">
        <f>'6.Cons Profit &amp; Loss'!E11*(1-$M$126)</f>
        <v>0.0</v>
      </c>
      <c r="G158" s="352">
        <f>'6.Cons Profit &amp; Loss'!F11*(1-$M$126)</f>
        <v>0.0</v>
      </c>
      <c r="H158" s="352">
        <f>'6.Cons Profit &amp; Loss'!G11*(1-$M$126)</f>
        <v>0.0</v>
      </c>
      <c r="I158" s="352">
        <f>'6.Cons Profit &amp; Loss'!H11*(1-$M$126)</f>
        <v>0.0</v>
      </c>
    </row>
    <row r="159" spans="8:8">
      <c r="B159" s="285" t="str">
        <f t="shared" si="20"/>
        <v>Faclitiy 5 - Agri Input Centre</v>
      </c>
      <c r="C159" s="352">
        <f>'6.Cons Profit &amp; Loss'!B12*(1-$M$126)</f>
        <v>0.0</v>
      </c>
      <c r="D159" s="352">
        <f>'6.Cons Profit &amp; Loss'!C12*(1-$M$126)</f>
        <v>0.0</v>
      </c>
      <c r="E159" s="352">
        <f>'6.Cons Profit &amp; Loss'!D12*(1-$M$126)</f>
        <v>0.0</v>
      </c>
      <c r="F159" s="352">
        <f>'6.Cons Profit &amp; Loss'!E12*(1-$M$126)</f>
        <v>0.0</v>
      </c>
      <c r="G159" s="352">
        <f>'6.Cons Profit &amp; Loss'!F12*(1-$M$126)</f>
        <v>0.0</v>
      </c>
      <c r="H159" s="352">
        <f>'6.Cons Profit &amp; Loss'!G12*(1-$M$126)</f>
        <v>0.0</v>
      </c>
      <c r="I159" s="352">
        <f>'6.Cons Profit &amp; Loss'!H12*(1-$M$126)</f>
        <v>0.0</v>
      </c>
    </row>
    <row r="160" spans="8:8" ht="30.0">
      <c r="B160" s="285" t="str">
        <f t="shared" si="20"/>
        <v>Facility 6 - Processing Unit - Horti Commodity</v>
      </c>
      <c r="C160" s="352">
        <f>'6.Cons Profit &amp; Loss'!B13*(1-$M$126)</f>
        <v>0.0</v>
      </c>
      <c r="D160" s="352">
        <f>'6.Cons Profit &amp; Loss'!C13*(1-$M$126)</f>
        <v>0.0</v>
      </c>
      <c r="E160" s="352">
        <f>'6.Cons Profit &amp; Loss'!D13*(1-$M$126)</f>
        <v>0.0</v>
      </c>
      <c r="F160" s="352">
        <f>'6.Cons Profit &amp; Loss'!E13*(1-$M$126)</f>
        <v>0.0</v>
      </c>
      <c r="G160" s="352">
        <f>'6.Cons Profit &amp; Loss'!F13*(1-$M$126)</f>
        <v>0.0</v>
      </c>
      <c r="H160" s="352">
        <f>'6.Cons Profit &amp; Loss'!G13*(1-$M$126)</f>
        <v>0.0</v>
      </c>
      <c r="I160" s="352">
        <f>'6.Cons Profit &amp; Loss'!H13*(1-$M$126)</f>
        <v>0.0</v>
      </c>
    </row>
    <row r="161" spans="8:8">
      <c r="B161" s="285">
        <f t="shared" si="20"/>
        <v>0.0</v>
      </c>
      <c r="C161" s="352">
        <f>'6.Cons Profit &amp; Loss'!B14*(1-$M$126)</f>
        <v>0.0</v>
      </c>
      <c r="D161" s="352">
        <f>'6.Cons Profit &amp; Loss'!C14*(1-$M$126)</f>
        <v>0.0</v>
      </c>
      <c r="E161" s="352">
        <f>'6.Cons Profit &amp; Loss'!D14*(1-$M$126)</f>
        <v>0.0</v>
      </c>
      <c r="F161" s="352">
        <f>'6.Cons Profit &amp; Loss'!E14*(1-$M$126)</f>
        <v>0.0</v>
      </c>
      <c r="G161" s="352">
        <f>'6.Cons Profit &amp; Loss'!F14*(1-$M$126)</f>
        <v>0.0</v>
      </c>
      <c r="H161" s="352">
        <f>'6.Cons Profit &amp; Loss'!G14*(1-$M$126)</f>
        <v>0.0</v>
      </c>
      <c r="I161" s="352">
        <f>'6.Cons Profit &amp; Loss'!H14*(1-$M$126)</f>
        <v>0.0</v>
      </c>
    </row>
    <row r="162" spans="8:8">
      <c r="B162" s="285" t="s">
        <v>357</v>
      </c>
      <c r="C162" s="352">
        <f>SUM(C155:C161)</f>
        <v>9.349585315171875E7</v>
      </c>
      <c r="D162" s="352">
        <f t="shared" si="21" ref="D162:I162">SUM(D155:D161)</f>
        <v>1.1424537143889843E8</v>
      </c>
      <c r="E162" s="352">
        <f t="shared" si="21"/>
        <v>1.3201368423303868E8</v>
      </c>
      <c r="F162" s="352">
        <f t="shared" si="21"/>
        <v>1.512732148779957E8</v>
      </c>
      <c r="G162" s="352">
        <f t="shared" si="21"/>
        <v>1.7212866437686577E8</v>
      </c>
      <c r="H162" s="352">
        <f t="shared" si="21"/>
        <v>1.9469147578842795E8</v>
      </c>
      <c r="I162" s="352">
        <f t="shared" si="21"/>
        <v>2.190802466802041E8</v>
      </c>
    </row>
    <row r="163" spans="8:8">
      <c r="B163" s="285" t="s">
        <v>358</v>
      </c>
      <c r="C163" s="352"/>
      <c r="D163" s="352"/>
      <c r="E163" s="352"/>
      <c r="F163" s="352"/>
      <c r="G163" s="352"/>
      <c r="H163" s="352"/>
      <c r="I163" s="352"/>
    </row>
    <row r="164" spans="8:8" ht="30.0">
      <c r="B164" s="285" t="s">
        <v>359</v>
      </c>
      <c r="C164" s="352">
        <f>'6.Cons Profit &amp; Loss'!B36</f>
        <v>3607429.689341</v>
      </c>
      <c r="D164" s="352">
        <f>'6.Cons Profit &amp; Loss'!C36</f>
        <v>3792750.908682</v>
      </c>
      <c r="E164" s="352">
        <f>'6.Cons Profit &amp; Loss'!D36</f>
        <v>3996375.4780230005</v>
      </c>
      <c r="F164" s="352">
        <f>'6.Cons Profit &amp; Loss'!E36</f>
        <v>4219968.564864</v>
      </c>
      <c r="G164" s="352">
        <f>'6.Cons Profit &amp; Loss'!F36</f>
        <v>4465353.595080001</v>
      </c>
      <c r="H164" s="352">
        <f>'6.Cons Profit &amp; Loss'!G36</f>
        <v>4734527.665839751</v>
      </c>
      <c r="I164" s="352">
        <f>'6.Cons Profit &amp; Loss'!H36</f>
        <v>5029678.47917044</v>
      </c>
    </row>
    <row r="165" spans="8:8">
      <c r="B165" s="285" t="s">
        <v>314</v>
      </c>
      <c r="C165" s="352">
        <f>'6.Cons Profit &amp; Loss'!B25*(1-$M$126)</f>
        <v>8.530769748764811E7</v>
      </c>
      <c r="D165" s="352">
        <f>'6.Cons Profit &amp; Loss'!C25*(1-$M$126)</f>
        <v>1.0399229435843766E8</v>
      </c>
      <c r="E165" s="352">
        <f>'6.Cons Profit &amp; Loss'!D25*(1-$M$126)</f>
        <v>1.2016321086903892E8</v>
      </c>
      <c r="F165" s="352">
        <f>'6.Cons Profit &amp; Loss'!E25*(1-$M$126)</f>
        <v>1.376912382948054E8</v>
      </c>
      <c r="G165" s="352">
        <f>'6.Cons Profit &amp; Loss'!F25*(1-$M$126)</f>
        <v>1.56671660435976E8</v>
      </c>
      <c r="H165" s="352">
        <f>'6.Cons Profit &amp; Loss'!G25*(1-$M$126)</f>
        <v>1.77205896695526E8</v>
      </c>
      <c r="I165" s="352">
        <f>'6.Cons Profit &amp; Loss'!H25*(1-$M$126)</f>
        <v>1.9940187742994085E8</v>
      </c>
    </row>
    <row r="166" spans="8:8">
      <c r="B166" s="285" t="s">
        <v>360</v>
      </c>
      <c r="C166" s="352">
        <f t="shared" si="22" ref="C166:I166">SUM(C164:C165)</f>
        <v>8.891512717698911E7</v>
      </c>
      <c r="D166" s="352">
        <f t="shared" si="22"/>
        <v>1.0778504526711966E8</v>
      </c>
      <c r="E166" s="352">
        <f t="shared" si="22"/>
        <v>1.2415958634706193E8</v>
      </c>
      <c r="F166" s="352">
        <f t="shared" si="22"/>
        <v>1.4191120685966942E8</v>
      </c>
      <c r="G166" s="352">
        <f t="shared" si="22"/>
        <v>1.61137014031056E8</v>
      </c>
      <c r="H166" s="352">
        <f t="shared" si="22"/>
        <v>1.8194042436136577E8</v>
      </c>
      <c r="I166" s="352">
        <f t="shared" si="22"/>
        <v>2.044315559091113E8</v>
      </c>
    </row>
    <row r="167" spans="8:8">
      <c r="B167" s="280" t="s">
        <v>361</v>
      </c>
      <c r="C167" s="355">
        <f t="shared" si="23" ref="C167:I167">+C162-C166</f>
        <v>4580725.974729702</v>
      </c>
      <c r="D167" s="355">
        <f t="shared" si="23"/>
        <v>6460326.171777993</v>
      </c>
      <c r="E167" s="355">
        <f t="shared" si="23"/>
        <v>7854097.885977</v>
      </c>
      <c r="F167" s="355">
        <f t="shared" si="23"/>
        <v>9362008.018326998</v>
      </c>
      <c r="G167" s="355">
        <f t="shared" si="23"/>
        <v>1.0991650345810026E7</v>
      </c>
      <c r="H167" s="355">
        <f t="shared" si="23"/>
        <v>1.2751051427062005E7</v>
      </c>
      <c r="I167" s="355">
        <f t="shared" si="23"/>
        <v>1.464869077109301E7</v>
      </c>
    </row>
    <row r="168" spans="8:8">
      <c r="B168" s="127"/>
      <c r="C168" s="357"/>
      <c r="D168" s="357"/>
      <c r="E168" s="357"/>
      <c r="F168" s="357"/>
      <c r="G168" s="357"/>
      <c r="H168" s="357"/>
      <c r="I168" s="357"/>
    </row>
    <row r="169" spans="8:8">
      <c r="B169" s="358" t="s">
        <v>364</v>
      </c>
      <c r="C169" s="196" t="s">
        <v>2</v>
      </c>
      <c r="D169" s="196" t="s">
        <v>3</v>
      </c>
      <c r="E169" s="196" t="s">
        <v>4</v>
      </c>
      <c r="F169" s="196" t="s">
        <v>5</v>
      </c>
      <c r="G169" s="196" t="s">
        <v>6</v>
      </c>
      <c r="H169" s="196" t="s">
        <v>169</v>
      </c>
      <c r="I169" s="196" t="s">
        <v>168</v>
      </c>
    </row>
    <row r="170" spans="8:8">
      <c r="B170" s="285" t="str">
        <f t="shared" si="24" ref="B170:B176">B155</f>
        <v>Faclitiy 1 - Cleaning &amp; Grading</v>
      </c>
      <c r="C170" s="359">
        <f>'6.Cons Profit &amp; Loss'!B8</f>
        <v>9.8416687528125E7</v>
      </c>
      <c r="D170" s="359">
        <f>'6.Cons Profit &amp; Loss'!C8</f>
        <v>1.2025828572515625E8</v>
      </c>
      <c r="E170" s="359">
        <f>'6.Cons Profit &amp; Loss'!D8</f>
        <v>1.3896177287688282E8</v>
      </c>
      <c r="F170" s="359">
        <f>'6.Cons Profit &amp; Loss'!E8</f>
        <v>1.5923496302946916E8</v>
      </c>
      <c r="G170" s="359">
        <f>'6.Cons Profit &amp; Loss'!F8</f>
        <v>1.8118806776512188E8</v>
      </c>
      <c r="H170" s="359">
        <f>'6.Cons Profit &amp; Loss'!G8</f>
        <v>2.0493839556676626E8</v>
      </c>
      <c r="I170" s="359">
        <f>'6.Cons Profit &amp; Loss'!H8</f>
        <v>2.3061078597916222E8</v>
      </c>
    </row>
    <row r="171" spans="8:8">
      <c r="B171" s="285" t="str">
        <f t="shared" si="24"/>
        <v>Faclitiy 2 - Processing Unit- Dal Mill</v>
      </c>
      <c r="C171" s="359">
        <f>'6.Cons Profit &amp; Loss'!B9</f>
        <v>0.0</v>
      </c>
      <c r="D171" s="359">
        <f>'6.Cons Profit &amp; Loss'!C9</f>
        <v>0.0</v>
      </c>
      <c r="E171" s="359">
        <f>'6.Cons Profit &amp; Loss'!D9</f>
        <v>0.0</v>
      </c>
      <c r="F171" s="359">
        <f>'6.Cons Profit &amp; Loss'!E9</f>
        <v>0.0</v>
      </c>
      <c r="G171" s="359">
        <f>'6.Cons Profit &amp; Loss'!F9</f>
        <v>0.0</v>
      </c>
      <c r="H171" s="359">
        <f>'6.Cons Profit &amp; Loss'!G9</f>
        <v>0.0</v>
      </c>
      <c r="I171" s="359">
        <f>'6.Cons Profit &amp; Loss'!H9</f>
        <v>0.0</v>
      </c>
    </row>
    <row r="172" spans="8:8">
      <c r="B172" s="285" t="str">
        <f t="shared" si="24"/>
        <v>Faclitiy 3 - Warehouse</v>
      </c>
      <c r="C172" s="359">
        <f>'6.Cons Profit &amp; Loss'!B10</f>
        <v>0.0</v>
      </c>
      <c r="D172" s="359">
        <f>'6.Cons Profit &amp; Loss'!C10</f>
        <v>0.0</v>
      </c>
      <c r="E172" s="359">
        <f>'6.Cons Profit &amp; Loss'!D10</f>
        <v>0.0</v>
      </c>
      <c r="F172" s="359">
        <f>'6.Cons Profit &amp; Loss'!E10</f>
        <v>0.0</v>
      </c>
      <c r="G172" s="359">
        <f>'6.Cons Profit &amp; Loss'!F10</f>
        <v>0.0</v>
      </c>
      <c r="H172" s="359">
        <f>'6.Cons Profit &amp; Loss'!G10</f>
        <v>0.0</v>
      </c>
      <c r="I172" s="359">
        <f>'6.Cons Profit &amp; Loss'!H10</f>
        <v>0.0</v>
      </c>
    </row>
    <row r="173" spans="8:8">
      <c r="B173" s="285" t="str">
        <f t="shared" si="24"/>
        <v>Faclitiy 4 - Custom Hiring </v>
      </c>
      <c r="C173" s="359">
        <f>'6.Cons Profit &amp; Loss'!B11</f>
        <v>0.0</v>
      </c>
      <c r="D173" s="359">
        <f>'6.Cons Profit &amp; Loss'!C11</f>
        <v>0.0</v>
      </c>
      <c r="E173" s="359">
        <f>'6.Cons Profit &amp; Loss'!D11</f>
        <v>0.0</v>
      </c>
      <c r="F173" s="359">
        <f>'6.Cons Profit &amp; Loss'!E11</f>
        <v>0.0</v>
      </c>
      <c r="G173" s="359">
        <f>'6.Cons Profit &amp; Loss'!F11</f>
        <v>0.0</v>
      </c>
      <c r="H173" s="359">
        <f>'6.Cons Profit &amp; Loss'!G11</f>
        <v>0.0</v>
      </c>
      <c r="I173" s="359">
        <f>'6.Cons Profit &amp; Loss'!H11</f>
        <v>0.0</v>
      </c>
    </row>
    <row r="174" spans="8:8">
      <c r="B174" s="285" t="str">
        <f t="shared" si="24"/>
        <v>Faclitiy 5 - Agri Input Centre</v>
      </c>
      <c r="C174" s="359">
        <f>'6.Cons Profit &amp; Loss'!B12</f>
        <v>0.0</v>
      </c>
      <c r="D174" s="359">
        <f>'6.Cons Profit &amp; Loss'!C12</f>
        <v>0.0</v>
      </c>
      <c r="E174" s="359">
        <f>'6.Cons Profit &amp; Loss'!D12</f>
        <v>0.0</v>
      </c>
      <c r="F174" s="359">
        <f>'6.Cons Profit &amp; Loss'!E12</f>
        <v>0.0</v>
      </c>
      <c r="G174" s="359">
        <f>'6.Cons Profit &amp; Loss'!F12</f>
        <v>0.0</v>
      </c>
      <c r="H174" s="359">
        <f>'6.Cons Profit &amp; Loss'!G12</f>
        <v>0.0</v>
      </c>
      <c r="I174" s="359">
        <f>'6.Cons Profit &amp; Loss'!H12</f>
        <v>0.0</v>
      </c>
    </row>
    <row r="175" spans="8:8" ht="30.0">
      <c r="B175" s="285" t="str">
        <f t="shared" si="24"/>
        <v>Facility 6 - Processing Unit - Horti Commodity</v>
      </c>
      <c r="C175" s="359">
        <f>'6.Cons Profit &amp; Loss'!B13</f>
        <v>0.0</v>
      </c>
      <c r="D175" s="359">
        <f>'6.Cons Profit &amp; Loss'!C13</f>
        <v>0.0</v>
      </c>
      <c r="E175" s="359">
        <f>'6.Cons Profit &amp; Loss'!D13</f>
        <v>0.0</v>
      </c>
      <c r="F175" s="359">
        <f>'6.Cons Profit &amp; Loss'!E13</f>
        <v>0.0</v>
      </c>
      <c r="G175" s="359">
        <f>'6.Cons Profit &amp; Loss'!F13</f>
        <v>0.0</v>
      </c>
      <c r="H175" s="359">
        <f>'6.Cons Profit &amp; Loss'!G13</f>
        <v>0.0</v>
      </c>
      <c r="I175" s="359">
        <f>'6.Cons Profit &amp; Loss'!H13</f>
        <v>0.0</v>
      </c>
    </row>
    <row r="176" spans="8:8">
      <c r="B176" s="285">
        <f t="shared" si="24"/>
        <v>0.0</v>
      </c>
      <c r="C176" s="359">
        <f>'6.Cons Profit &amp; Loss'!B14</f>
        <v>0.0</v>
      </c>
      <c r="D176" s="359">
        <f>'6.Cons Profit &amp; Loss'!C14</f>
        <v>0.0</v>
      </c>
      <c r="E176" s="359">
        <f>'6.Cons Profit &amp; Loss'!D14</f>
        <v>0.0</v>
      </c>
      <c r="F176" s="359">
        <f>'6.Cons Profit &amp; Loss'!E14</f>
        <v>0.0</v>
      </c>
      <c r="G176" s="359">
        <f>'6.Cons Profit &amp; Loss'!F14</f>
        <v>0.0</v>
      </c>
      <c r="H176" s="359">
        <f>'6.Cons Profit &amp; Loss'!G14</f>
        <v>0.0</v>
      </c>
      <c r="I176" s="359">
        <f>'6.Cons Profit &amp; Loss'!H14</f>
        <v>0.0</v>
      </c>
    </row>
    <row r="177" spans="8:8">
      <c r="B177" s="285" t="s">
        <v>357</v>
      </c>
      <c r="C177" s="359">
        <f>SUM(C170:C176)</f>
        <v>9.8416687528125E7</v>
      </c>
      <c r="D177" s="359">
        <f t="shared" si="25" ref="D177:I177">SUM(D170:D176)</f>
        <v>1.2025828572515625E8</v>
      </c>
      <c r="E177" s="359">
        <f t="shared" si="25"/>
        <v>1.3896177287688282E8</v>
      </c>
      <c r="F177" s="359">
        <f t="shared" si="25"/>
        <v>1.5923496302946916E8</v>
      </c>
      <c r="G177" s="359">
        <f t="shared" si="25"/>
        <v>1.8118806776512188E8</v>
      </c>
      <c r="H177" s="359">
        <f t="shared" si="25"/>
        <v>2.0493839556676626E8</v>
      </c>
      <c r="I177" s="359">
        <f t="shared" si="25"/>
        <v>2.3061078597916222E8</v>
      </c>
    </row>
    <row r="178" spans="8:8">
      <c r="B178" s="285" t="s">
        <v>358</v>
      </c>
      <c r="C178" s="359"/>
      <c r="D178" s="359"/>
      <c r="E178" s="359"/>
      <c r="F178" s="359"/>
      <c r="G178" s="359"/>
      <c r="H178" s="359"/>
      <c r="I178" s="359"/>
    </row>
    <row r="179" spans="8:8" ht="30.0">
      <c r="B179" s="285" t="s">
        <v>359</v>
      </c>
      <c r="C179" s="359">
        <f>'6.Cons Profit &amp; Loss'!B36</f>
        <v>3607429.689341</v>
      </c>
      <c r="D179" s="359">
        <f>'6.Cons Profit &amp; Loss'!C36</f>
        <v>3792750.908682</v>
      </c>
      <c r="E179" s="359">
        <f>'6.Cons Profit &amp; Loss'!D36</f>
        <v>3996375.4780230005</v>
      </c>
      <c r="F179" s="359">
        <f>'6.Cons Profit &amp; Loss'!E36</f>
        <v>4219968.564864</v>
      </c>
      <c r="G179" s="359">
        <f>'6.Cons Profit &amp; Loss'!F36</f>
        <v>4465353.595080001</v>
      </c>
      <c r="H179" s="359">
        <f>'6.Cons Profit &amp; Loss'!G36</f>
        <v>4734527.665839751</v>
      </c>
      <c r="I179" s="359">
        <f>'6.Cons Profit &amp; Loss'!H36</f>
        <v>5029678.47917044</v>
      </c>
    </row>
    <row r="180" spans="8:8">
      <c r="B180" s="285" t="s">
        <v>314</v>
      </c>
      <c r="C180" s="359">
        <f>'6.Cons Profit &amp; Loss'!B25*(1-$M$127)</f>
        <v>8.530769748764811E7</v>
      </c>
      <c r="D180" s="359">
        <f>'6.Cons Profit &amp; Loss'!C25*(1-$M$127)</f>
        <v>1.0399229435843766E8</v>
      </c>
      <c r="E180" s="359">
        <f>'6.Cons Profit &amp; Loss'!D25*(1-$M$127)</f>
        <v>1.2016321086903892E8</v>
      </c>
      <c r="F180" s="359">
        <f>'6.Cons Profit &amp; Loss'!E25*(1-$M$127)</f>
        <v>1.376912382948054E8</v>
      </c>
      <c r="G180" s="359">
        <f>'6.Cons Profit &amp; Loss'!F25*(1-$M$127)</f>
        <v>1.56671660435976E8</v>
      </c>
      <c r="H180" s="359">
        <f>'6.Cons Profit &amp; Loss'!G25*(1-$M$127)</f>
        <v>1.77205896695526E8</v>
      </c>
      <c r="I180" s="359">
        <f>'6.Cons Profit &amp; Loss'!H25*(1-$M$127)</f>
        <v>1.9940187742994085E8</v>
      </c>
    </row>
    <row r="181" spans="8:8">
      <c r="B181" s="285" t="s">
        <v>360</v>
      </c>
      <c r="C181" s="359">
        <f t="shared" si="26" ref="C181:I181">SUM(C179:C180)</f>
        <v>8.891512717698911E7</v>
      </c>
      <c r="D181" s="359">
        <f t="shared" si="26"/>
        <v>1.0778504526711966E8</v>
      </c>
      <c r="E181" s="359">
        <f t="shared" si="26"/>
        <v>1.2415958634706193E8</v>
      </c>
      <c r="F181" s="359">
        <f t="shared" si="26"/>
        <v>1.4191120685966942E8</v>
      </c>
      <c r="G181" s="359">
        <f t="shared" si="26"/>
        <v>1.61137014031056E8</v>
      </c>
      <c r="H181" s="359">
        <f t="shared" si="26"/>
        <v>1.8194042436136577E8</v>
      </c>
      <c r="I181" s="359">
        <f t="shared" si="26"/>
        <v>2.044315559091113E8</v>
      </c>
    </row>
    <row r="182" spans="8:8">
      <c r="B182" s="280" t="s">
        <v>361</v>
      </c>
      <c r="C182" s="363">
        <f t="shared" si="27" ref="C182:I182">+C177-C181</f>
        <v>9501560.35113591</v>
      </c>
      <c r="D182" s="363">
        <f t="shared" si="27"/>
        <v>1.247324045803599E7</v>
      </c>
      <c r="E182" s="363">
        <f t="shared" si="27"/>
        <v>1.4802186529820994E7</v>
      </c>
      <c r="F182" s="363">
        <f t="shared" si="27"/>
        <v>1.7323756169800013E7</v>
      </c>
      <c r="G182" s="363">
        <f t="shared" si="27"/>
        <v>2.005105373406601E7</v>
      </c>
      <c r="H182" s="363">
        <f t="shared" si="27"/>
        <v>2.299797120539999E7</v>
      </c>
      <c r="I182" s="363">
        <f t="shared" si="27"/>
        <v>2.6179230070051014E7</v>
      </c>
    </row>
    <row r="184" spans="8:8" ht="41.1" customHeight="1">
      <c r="B184" s="364" t="s">
        <v>561</v>
      </c>
      <c r="C184" s="364"/>
      <c r="D184" s="364"/>
      <c r="E184" s="364"/>
      <c r="F184" s="364"/>
      <c r="G184" s="364"/>
      <c r="H184" s="364"/>
      <c r="I184" s="364"/>
      <c r="J184" s="365"/>
      <c r="K184" s="365"/>
      <c r="L184" s="365"/>
      <c r="M184" s="365"/>
    </row>
  </sheetData>
  <mergeCells count="19">
    <mergeCell ref="B5:J5"/>
    <mergeCell ref="B103:J103"/>
    <mergeCell ref="B24:J24"/>
    <mergeCell ref="B51:J51"/>
    <mergeCell ref="B184:I184"/>
    <mergeCell ref="B123:I123"/>
    <mergeCell ref="D20:J20"/>
    <mergeCell ref="B121:J121"/>
    <mergeCell ref="B105:I105"/>
    <mergeCell ref="B26:I26"/>
    <mergeCell ref="B75:J75"/>
    <mergeCell ref="D22:J22"/>
    <mergeCell ref="B88:I88"/>
    <mergeCell ref="C83:I83"/>
    <mergeCell ref="C82:I82"/>
    <mergeCell ref="B54:I54"/>
    <mergeCell ref="B76:I76"/>
    <mergeCell ref="C85:I85"/>
    <mergeCell ref="B90:J90"/>
  </mergeCells>
  <hyperlinks>
    <hyperlink ref="B24" r:id="rId1"/>
  </hyperlinks>
  <pageMargins left="0.39" right="0.17" top="0.49" bottom="0.26" header="0.3" footer="0.3"/>
  <pageSetup paperSize="9" scale="65" orientation="landscape"/>
</worksheet>
</file>

<file path=xl/worksheets/sheet11.xml><?xml version="1.0" encoding="utf-8"?>
<worksheet xmlns:r="http://schemas.openxmlformats.org/officeDocument/2006/relationships" xmlns="http://schemas.openxmlformats.org/spreadsheetml/2006/main">
  <dimension ref="A1:AA119"/>
  <sheetViews>
    <sheetView workbookViewId="0" zoomScale="85">
      <selection activeCell="F53" sqref="F53"/>
    </sheetView>
  </sheetViews>
  <sheetFormatPr defaultRowHeight="15.0" defaultColWidth="10"/>
  <cols>
    <col min="1" max="1" customWidth="1" bestFit="1" width="49.140625" style="0"/>
    <col min="2" max="2" customWidth="1" bestFit="1" width="23.140625" style="0"/>
    <col min="3" max="3" customWidth="1" width="11.5703125" style="0"/>
    <col min="4" max="4" customWidth="1" width="18.855469" style="0"/>
    <col min="5" max="5" customWidth="1" width="15.140625" style="0"/>
    <col min="6" max="7" customWidth="1" width="15.855469" style="0"/>
    <col min="8" max="8" customWidth="1" width="21.140625" style="0"/>
    <col min="9" max="9" customWidth="1" bestFit="1" width="11.425781" style="0"/>
    <col min="10" max="10" customWidth="1" bestFit="1" width="9.140625" style="0"/>
  </cols>
  <sheetData>
    <row r="1" spans="8:8" ht="18.75">
      <c r="A1" s="30" t="s">
        <v>621</v>
      </c>
      <c r="B1" s="30"/>
      <c r="C1" s="30"/>
      <c r="D1" s="30"/>
      <c r="E1" s="30"/>
      <c r="F1" s="30"/>
      <c r="G1" s="30"/>
      <c r="H1" s="30"/>
    </row>
    <row r="2" spans="8:8">
      <c r="B2" s="236"/>
    </row>
    <row r="3" spans="8:8" ht="18.75">
      <c r="A3" s="366" t="s">
        <v>590</v>
      </c>
      <c r="B3" s="366"/>
    </row>
    <row r="4" spans="8:8">
      <c r="A4" s="367" t="s">
        <v>0</v>
      </c>
      <c r="B4" s="368" t="s">
        <v>398</v>
      </c>
      <c r="C4" s="369"/>
      <c r="D4" s="369"/>
      <c r="E4" s="369"/>
      <c r="F4" s="369"/>
      <c r="G4" s="369"/>
      <c r="H4" s="369"/>
    </row>
    <row r="5" spans="8:8">
      <c r="A5" s="206" t="s">
        <v>514</v>
      </c>
      <c r="B5" s="370">
        <v>841.0</v>
      </c>
      <c r="C5" s="371"/>
      <c r="D5" s="372"/>
      <c r="E5" s="372"/>
      <c r="F5" s="372"/>
      <c r="G5" s="372"/>
      <c r="H5" s="372"/>
    </row>
    <row r="6" spans="8:8">
      <c r="A6" s="206" t="s">
        <v>515</v>
      </c>
      <c r="B6" s="370">
        <v>100.0</v>
      </c>
      <c r="C6" s="371"/>
      <c r="D6" s="372"/>
      <c r="E6" s="372"/>
      <c r="F6" s="372"/>
      <c r="G6" s="372"/>
      <c r="H6" s="372"/>
    </row>
    <row r="7" spans="8:8">
      <c r="A7" s="373" t="s">
        <v>1</v>
      </c>
      <c r="B7" s="374">
        <f>B5+B6</f>
        <v>941.0</v>
      </c>
      <c r="C7" s="375"/>
      <c r="D7" s="376"/>
      <c r="E7" s="376"/>
      <c r="F7" s="376"/>
      <c r="G7" s="376"/>
      <c r="H7" s="376"/>
    </row>
    <row r="8" spans="8:8">
      <c r="A8" s="373" t="s">
        <v>516</v>
      </c>
      <c r="B8" s="377">
        <v>2.5</v>
      </c>
      <c r="C8" s="375"/>
      <c r="D8" s="375"/>
      <c r="E8" s="375"/>
      <c r="F8" s="375"/>
      <c r="G8" s="375"/>
      <c r="H8" s="375"/>
    </row>
    <row r="9" spans="8:8">
      <c r="A9" s="373" t="s">
        <v>521</v>
      </c>
      <c r="B9" s="374">
        <f>B7*B8</f>
        <v>2352.5</v>
      </c>
      <c r="C9" s="376"/>
      <c r="D9" s="376"/>
      <c r="E9" s="376"/>
      <c r="F9" s="376"/>
      <c r="G9" s="376"/>
      <c r="H9" s="376"/>
    </row>
    <row r="10" spans="8:8">
      <c r="J10" t="s">
        <v>469</v>
      </c>
      <c r="O10" t="s">
        <v>465</v>
      </c>
      <c r="U10" t="s">
        <v>466</v>
      </c>
      <c r="Y10" t="s">
        <v>467</v>
      </c>
      <c r="Z10" t="s">
        <v>468</v>
      </c>
    </row>
    <row r="11" spans="8:8" ht="18.75">
      <c r="A11" s="30" t="s">
        <v>591</v>
      </c>
      <c r="B11" s="30"/>
      <c r="C11" s="30"/>
      <c r="D11" s="30"/>
      <c r="E11" s="30"/>
      <c r="F11" s="30"/>
      <c r="G11" s="30"/>
      <c r="H11" s="30"/>
      <c r="I11" s="378"/>
      <c r="J11" s="378"/>
      <c r="K11" s="378"/>
      <c r="L11" s="378"/>
      <c r="M11" s="378"/>
      <c r="N11" s="378"/>
      <c r="O11" s="378"/>
      <c r="P11" s="378"/>
    </row>
    <row r="12" spans="8:8">
      <c r="J12" s="379">
        <v>0.65</v>
      </c>
      <c r="K12" s="380">
        <f>J12+0.05</f>
        <v>0.7000000000000001</v>
      </c>
      <c r="L12" s="380">
        <f t="shared" si="0" ref="L12:N12">K12+0.05</f>
        <v>0.75</v>
      </c>
      <c r="M12" s="380">
        <f t="shared" si="0"/>
        <v>0.8</v>
      </c>
      <c r="N12" s="380">
        <f t="shared" si="0"/>
        <v>0.8500000000000001</v>
      </c>
      <c r="O12" s="379">
        <v>0.4</v>
      </c>
      <c r="P12" s="379">
        <f>O12+0.05</f>
        <v>0.45</v>
      </c>
      <c r="Q12" s="379">
        <f t="shared" si="1" ref="Q12:T12">P12+0.05</f>
        <v>0.5</v>
      </c>
      <c r="R12" s="379">
        <f t="shared" si="1"/>
        <v>0.55</v>
      </c>
      <c r="S12" s="379">
        <f t="shared" si="1"/>
        <v>0.6000000000000001</v>
      </c>
      <c r="T12" s="379">
        <f t="shared" si="1"/>
        <v>0.65</v>
      </c>
      <c r="U12" s="379">
        <v>0.1</v>
      </c>
      <c r="V12" s="308">
        <f>U12+0.05</f>
        <v>0.15000000000000002</v>
      </c>
      <c r="W12" s="308">
        <f t="shared" si="2" ref="W12:X12">V12+0.05</f>
        <v>0.2</v>
      </c>
      <c r="X12" s="308">
        <f t="shared" si="2"/>
        <v>0.25</v>
      </c>
    </row>
    <row r="13" spans="8:8" ht="45.0">
      <c r="A13" s="367" t="s">
        <v>402</v>
      </c>
      <c r="B13" s="367" t="s">
        <v>403</v>
      </c>
      <c r="C13" s="381" t="s">
        <v>462</v>
      </c>
      <c r="D13" s="381" t="s">
        <v>470</v>
      </c>
      <c r="E13" s="381" t="s">
        <v>471</v>
      </c>
      <c r="F13" s="381" t="s">
        <v>404</v>
      </c>
      <c r="G13" s="381" t="s">
        <v>665</v>
      </c>
      <c r="H13" s="381" t="s">
        <v>405</v>
      </c>
      <c r="O13" s="382" t="s">
        <v>2</v>
      </c>
      <c r="P13" s="382" t="s">
        <v>3</v>
      </c>
      <c r="Q13" s="382" t="s">
        <v>4</v>
      </c>
      <c r="R13" s="382" t="s">
        <v>5</v>
      </c>
      <c r="S13" s="382" t="s">
        <v>6</v>
      </c>
      <c r="T13" s="382" t="s">
        <v>2</v>
      </c>
      <c r="U13" s="382" t="s">
        <v>3</v>
      </c>
      <c r="V13" s="382" t="s">
        <v>4</v>
      </c>
      <c r="W13" s="382" t="s">
        <v>5</v>
      </c>
      <c r="X13" s="382" t="s">
        <v>6</v>
      </c>
    </row>
    <row r="14" spans="8:8">
      <c r="A14" s="383" t="s">
        <v>406</v>
      </c>
      <c r="B14" s="370" t="s">
        <v>167</v>
      </c>
      <c r="C14" s="384">
        <v>1.0</v>
      </c>
      <c r="D14" s="206">
        <f>$B$9*C14</f>
        <v>2352.5</v>
      </c>
      <c r="E14" s="385">
        <v>8.0</v>
      </c>
      <c r="F14" s="206">
        <f>D14*E14</f>
        <v>18820.0</v>
      </c>
      <c r="G14" s="386">
        <v>0.1</v>
      </c>
      <c r="H14" s="206">
        <f>(F14-F14*G14)</f>
        <v>16938.0</v>
      </c>
      <c r="J14">
        <f>$D$14*J12</f>
        <v>1529.125</v>
      </c>
      <c r="K14">
        <f>$D$14*K12</f>
        <v>1646.7500000000002</v>
      </c>
      <c r="L14">
        <f>$D$14*L12</f>
        <v>1764.375</v>
      </c>
      <c r="M14">
        <f>$D$14*M12</f>
        <v>1882.0</v>
      </c>
      <c r="N14">
        <f>$D$14*N12</f>
        <v>1999.6250000000002</v>
      </c>
    </row>
    <row r="15" spans="8:8">
      <c r="A15" s="387"/>
      <c r="B15" s="370" t="s">
        <v>494</v>
      </c>
      <c r="C15" s="384">
        <v>0.0</v>
      </c>
      <c r="D15" s="206">
        <f t="shared" si="3" ref="D15:D22">$B$9*C15</f>
        <v>0.0</v>
      </c>
      <c r="E15" s="385">
        <v>7.0</v>
      </c>
      <c r="F15" s="206">
        <f t="shared" si="4" ref="F15:F36">D15*E15</f>
        <v>0.0</v>
      </c>
      <c r="G15" s="386">
        <v>0.05</v>
      </c>
      <c r="H15" s="206">
        <f>(F15-F15*G15)</f>
        <v>0.0</v>
      </c>
    </row>
    <row r="16" spans="8:8">
      <c r="A16" s="387"/>
      <c r="B16" s="370" t="s">
        <v>493</v>
      </c>
      <c r="C16" s="384">
        <v>0.0</v>
      </c>
      <c r="D16" s="206">
        <f t="shared" si="3"/>
        <v>0.0</v>
      </c>
      <c r="E16" s="385">
        <v>4.0</v>
      </c>
      <c r="F16" s="206">
        <f t="shared" si="4"/>
        <v>0.0</v>
      </c>
      <c r="G16" s="386">
        <v>0.0</v>
      </c>
      <c r="H16" s="206">
        <f t="shared" si="5" ref="H16:H36">(F16-F16*G16)</f>
        <v>0.0</v>
      </c>
    </row>
    <row r="17" spans="8:8">
      <c r="A17" s="387"/>
      <c r="B17" s="370" t="s">
        <v>491</v>
      </c>
      <c r="C17" s="384">
        <v>0.0</v>
      </c>
      <c r="D17" s="206">
        <f t="shared" si="3"/>
        <v>0.0</v>
      </c>
      <c r="E17" s="385">
        <v>7.0</v>
      </c>
      <c r="F17" s="206">
        <f t="shared" si="4"/>
        <v>0.0</v>
      </c>
      <c r="G17" s="386">
        <v>0.02</v>
      </c>
      <c r="H17" s="206">
        <f t="shared" si="5"/>
        <v>0.0</v>
      </c>
    </row>
    <row r="18" spans="8:8">
      <c r="A18" s="387"/>
      <c r="B18" s="370" t="s">
        <v>407</v>
      </c>
      <c r="C18" s="384">
        <v>0.0</v>
      </c>
      <c r="D18" s="206">
        <f t="shared" si="3"/>
        <v>0.0</v>
      </c>
      <c r="E18" s="385">
        <v>20.0</v>
      </c>
      <c r="F18" s="206">
        <f t="shared" si="4"/>
        <v>0.0</v>
      </c>
      <c r="G18" s="386">
        <v>0.0</v>
      </c>
      <c r="H18" s="206">
        <f t="shared" si="5"/>
        <v>0.0</v>
      </c>
    </row>
    <row r="19" spans="8:8">
      <c r="A19" s="387"/>
      <c r="B19" s="370" t="s">
        <v>492</v>
      </c>
      <c r="C19" s="384">
        <v>0.0</v>
      </c>
      <c r="D19" s="206">
        <f t="shared" si="3"/>
        <v>0.0</v>
      </c>
      <c r="E19" s="385">
        <v>7.0</v>
      </c>
      <c r="F19" s="206">
        <f t="shared" si="4"/>
        <v>0.0</v>
      </c>
      <c r="G19" s="386">
        <v>0.1</v>
      </c>
      <c r="H19" s="206">
        <f t="shared" si="5"/>
        <v>0.0</v>
      </c>
    </row>
    <row r="20" spans="8:8">
      <c r="A20" s="387"/>
      <c r="B20" s="370" t="s">
        <v>485</v>
      </c>
      <c r="C20" s="384">
        <v>0.0</v>
      </c>
      <c r="D20" s="206">
        <f t="shared" si="3"/>
        <v>0.0</v>
      </c>
      <c r="E20" s="385">
        <v>6.0</v>
      </c>
      <c r="F20" s="206">
        <f t="shared" si="4"/>
        <v>0.0</v>
      </c>
      <c r="G20" s="386">
        <v>0.02</v>
      </c>
      <c r="H20" s="206">
        <f t="shared" si="5"/>
        <v>0.0</v>
      </c>
    </row>
    <row r="21" spans="8:8">
      <c r="A21" s="387"/>
      <c r="B21" s="370" t="s">
        <v>411</v>
      </c>
      <c r="C21" s="384">
        <v>0.0</v>
      </c>
      <c r="D21" s="206">
        <f t="shared" si="3"/>
        <v>0.0</v>
      </c>
      <c r="E21" s="385"/>
      <c r="F21" s="206">
        <f t="shared" si="4"/>
        <v>0.0</v>
      </c>
      <c r="G21" s="386">
        <v>0.0</v>
      </c>
      <c r="H21" s="206">
        <f t="shared" si="5"/>
        <v>0.0</v>
      </c>
    </row>
    <row r="22" spans="8:8">
      <c r="A22" s="388"/>
      <c r="B22" s="370" t="s">
        <v>495</v>
      </c>
      <c r="C22" s="384">
        <v>0.0</v>
      </c>
      <c r="D22" s="206">
        <f t="shared" si="3"/>
        <v>0.0</v>
      </c>
      <c r="E22" s="385"/>
      <c r="F22" s="206">
        <f t="shared" si="4"/>
        <v>0.0</v>
      </c>
      <c r="G22" s="386">
        <v>0.0</v>
      </c>
      <c r="H22" s="206">
        <f t="shared" si="5"/>
        <v>0.0</v>
      </c>
    </row>
    <row r="23" spans="8:8">
      <c r="A23" s="389" t="s">
        <v>499</v>
      </c>
      <c r="B23" s="390">
        <v>0.5</v>
      </c>
      <c r="C23" s="391">
        <f>B9*B23</f>
        <v>1176.25</v>
      </c>
      <c r="D23" s="206"/>
      <c r="E23" s="385"/>
      <c r="F23" s="206"/>
      <c r="G23" s="386"/>
      <c r="H23" s="206"/>
    </row>
    <row r="24" spans="8:8">
      <c r="A24" s="383" t="s">
        <v>408</v>
      </c>
      <c r="B24" s="370" t="s">
        <v>409</v>
      </c>
      <c r="C24" s="384">
        <v>0.0</v>
      </c>
      <c r="D24" s="206">
        <f>C$23*C24</f>
        <v>0.0</v>
      </c>
      <c r="E24" s="385">
        <v>10.0</v>
      </c>
      <c r="F24" s="206">
        <f t="shared" si="4"/>
        <v>0.0</v>
      </c>
      <c r="G24" s="386">
        <v>0.1</v>
      </c>
      <c r="H24" s="206">
        <f t="shared" si="5"/>
        <v>0.0</v>
      </c>
    </row>
    <row r="25" spans="8:8">
      <c r="A25" s="387"/>
      <c r="B25" s="370" t="s">
        <v>410</v>
      </c>
      <c r="C25" s="384">
        <v>0.6</v>
      </c>
      <c r="D25" s="206">
        <f>B$9*C25</f>
        <v>1411.5</v>
      </c>
      <c r="E25" s="385">
        <v>10.0</v>
      </c>
      <c r="F25" s="206">
        <f t="shared" si="4"/>
        <v>14115.0</v>
      </c>
      <c r="G25" s="386">
        <v>0.1</v>
      </c>
      <c r="H25" s="206">
        <f t="shared" si="5"/>
        <v>12703.5</v>
      </c>
    </row>
    <row r="26" spans="8:8">
      <c r="A26" s="387"/>
      <c r="B26" s="370" t="s">
        <v>411</v>
      </c>
      <c r="C26" s="384">
        <v>0.4</v>
      </c>
      <c r="D26" s="206">
        <f>B$9*C26</f>
        <v>941.0</v>
      </c>
      <c r="E26" s="385">
        <v>10.0</v>
      </c>
      <c r="F26" s="206">
        <f t="shared" si="4"/>
        <v>9410.0</v>
      </c>
      <c r="G26" s="386">
        <v>0.3</v>
      </c>
      <c r="H26" s="206">
        <f t="shared" si="5"/>
        <v>6587.0</v>
      </c>
    </row>
    <row r="27" spans="8:8">
      <c r="A27" s="387"/>
      <c r="B27" s="370" t="s">
        <v>407</v>
      </c>
      <c r="C27" s="384">
        <v>0.0</v>
      </c>
      <c r="D27" s="206">
        <f t="shared" si="6" ref="D27:D31">C$23*C27</f>
        <v>0.0</v>
      </c>
      <c r="E27" s="385">
        <v>20.0</v>
      </c>
      <c r="F27" s="206">
        <f t="shared" si="4"/>
        <v>0.0</v>
      </c>
      <c r="G27" s="386">
        <v>0.0</v>
      </c>
      <c r="H27" s="206">
        <f t="shared" si="5"/>
        <v>0.0</v>
      </c>
    </row>
    <row r="28" spans="8:8">
      <c r="A28" s="387"/>
      <c r="B28" s="370" t="s">
        <v>496</v>
      </c>
      <c r="C28" s="384">
        <v>0.0</v>
      </c>
      <c r="D28" s="206">
        <f t="shared" si="6"/>
        <v>0.0</v>
      </c>
      <c r="E28" s="385"/>
      <c r="F28" s="206">
        <f t="shared" si="4"/>
        <v>0.0</v>
      </c>
      <c r="G28" s="386">
        <v>0.0</v>
      </c>
      <c r="H28" s="206">
        <f t="shared" si="5"/>
        <v>0.0</v>
      </c>
    </row>
    <row r="29" spans="8:8">
      <c r="A29" s="387"/>
      <c r="B29" s="370"/>
      <c r="C29" s="384">
        <v>0.0</v>
      </c>
      <c r="D29" s="206">
        <f t="shared" si="6"/>
        <v>0.0</v>
      </c>
      <c r="E29" s="385"/>
      <c r="F29" s="206">
        <f t="shared" si="4"/>
        <v>0.0</v>
      </c>
      <c r="G29" s="386">
        <v>0.0</v>
      </c>
      <c r="H29" s="206">
        <f t="shared" si="5"/>
        <v>0.0</v>
      </c>
    </row>
    <row r="30" spans="8:8">
      <c r="A30" s="387"/>
      <c r="B30" s="370"/>
      <c r="C30" s="384">
        <v>0.0</v>
      </c>
      <c r="D30" s="206">
        <f t="shared" si="6"/>
        <v>0.0</v>
      </c>
      <c r="E30" s="385"/>
      <c r="F30" s="206">
        <f t="shared" si="4"/>
        <v>0.0</v>
      </c>
      <c r="G30" s="386">
        <v>0.0</v>
      </c>
      <c r="H30" s="206">
        <f t="shared" si="5"/>
        <v>0.0</v>
      </c>
    </row>
    <row r="31" spans="8:8">
      <c r="A31" s="388"/>
      <c r="B31" s="370"/>
      <c r="C31" s="384">
        <v>0.0</v>
      </c>
      <c r="D31" s="206">
        <f t="shared" si="6"/>
        <v>0.0</v>
      </c>
      <c r="E31" s="385"/>
      <c r="F31" s="206">
        <f t="shared" si="4"/>
        <v>0.0</v>
      </c>
      <c r="G31" s="386">
        <v>0.0</v>
      </c>
      <c r="H31" s="206">
        <f t="shared" si="5"/>
        <v>0.0</v>
      </c>
    </row>
    <row r="32" spans="8:8">
      <c r="A32" s="389" t="s">
        <v>498</v>
      </c>
      <c r="B32" s="390">
        <v>0.05</v>
      </c>
      <c r="C32" s="392">
        <f>B9*B32</f>
        <v>117.625</v>
      </c>
      <c r="D32" s="206"/>
      <c r="E32" s="385"/>
      <c r="F32" s="206"/>
      <c r="G32" s="386"/>
      <c r="H32" s="206"/>
    </row>
    <row r="33" spans="8:8">
      <c r="A33" s="393" t="s">
        <v>476</v>
      </c>
      <c r="B33" s="370" t="s">
        <v>497</v>
      </c>
      <c r="C33" s="384">
        <v>0.0</v>
      </c>
      <c r="D33" s="206">
        <f>C$32*C33</f>
        <v>0.0</v>
      </c>
      <c r="E33" s="385"/>
      <c r="F33" s="206">
        <f t="shared" si="4"/>
        <v>0.0</v>
      </c>
      <c r="G33" s="386">
        <v>0.0</v>
      </c>
      <c r="H33" s="206">
        <f t="shared" si="5"/>
        <v>0.0</v>
      </c>
    </row>
    <row r="34" spans="8:8">
      <c r="A34" s="394"/>
      <c r="B34" s="370"/>
      <c r="C34" s="384">
        <v>0.0</v>
      </c>
      <c r="D34" s="206">
        <f>C$32*C34</f>
        <v>0.0</v>
      </c>
      <c r="E34" s="385"/>
      <c r="F34" s="206">
        <f t="shared" si="4"/>
        <v>0.0</v>
      </c>
      <c r="G34" s="386">
        <v>0.0</v>
      </c>
      <c r="H34" s="206">
        <f t="shared" si="5"/>
        <v>0.0</v>
      </c>
    </row>
    <row r="35" spans="8:8">
      <c r="A35" s="394"/>
      <c r="B35" s="370"/>
      <c r="C35" s="384">
        <v>0.0</v>
      </c>
      <c r="D35" s="206">
        <f>C$32*C35</f>
        <v>0.0</v>
      </c>
      <c r="E35" s="385"/>
      <c r="F35" s="206">
        <f t="shared" si="4"/>
        <v>0.0</v>
      </c>
      <c r="G35" s="386">
        <v>0.0</v>
      </c>
      <c r="H35" s="206">
        <f t="shared" si="5"/>
        <v>0.0</v>
      </c>
    </row>
    <row r="36" spans="8:8">
      <c r="A36" s="395"/>
      <c r="B36" s="370"/>
      <c r="C36" s="384">
        <v>0.0</v>
      </c>
      <c r="D36" s="206">
        <f>C$32*C36</f>
        <v>0.0</v>
      </c>
      <c r="E36" s="385"/>
      <c r="F36" s="206">
        <f t="shared" si="4"/>
        <v>0.0</v>
      </c>
      <c r="G36" s="386">
        <v>0.0</v>
      </c>
      <c r="H36" s="206">
        <f t="shared" si="5"/>
        <v>0.0</v>
      </c>
    </row>
    <row r="37" spans="8:8">
      <c r="A37" s="396" t="s">
        <v>412</v>
      </c>
      <c r="B37" s="396"/>
      <c r="C37" s="396"/>
      <c r="D37" s="396"/>
      <c r="E37" s="396"/>
      <c r="F37" s="396"/>
      <c r="G37" s="396"/>
      <c r="H37" s="396"/>
    </row>
    <row r="39" spans="8:8" ht="18.75">
      <c r="A39" s="397" t="s">
        <v>592</v>
      </c>
      <c r="B39" s="398"/>
      <c r="C39" s="398"/>
      <c r="D39" s="398"/>
      <c r="E39" s="398"/>
      <c r="F39" s="398"/>
      <c r="G39" s="398"/>
      <c r="H39" s="399"/>
    </row>
    <row r="40" spans="8:8">
      <c r="A40" s="400" t="s">
        <v>0</v>
      </c>
      <c r="B40" s="401">
        <v>0.45</v>
      </c>
      <c r="C40" s="401">
        <v>0.5</v>
      </c>
      <c r="D40" s="401">
        <f t="shared" si="7" ref="D40:G40">C40+0.05</f>
        <v>0.55</v>
      </c>
      <c r="E40" s="401">
        <f t="shared" si="7"/>
        <v>0.6000000000000001</v>
      </c>
      <c r="F40" s="401">
        <f t="shared" si="7"/>
        <v>0.65</v>
      </c>
      <c r="G40" s="401">
        <f t="shared" si="7"/>
        <v>0.7000000000000001</v>
      </c>
      <c r="H40" s="401">
        <f>G40+0.05</f>
        <v>0.75</v>
      </c>
    </row>
    <row r="41" spans="8:8">
      <c r="A41" s="402"/>
      <c r="B41" s="368" t="s">
        <v>2</v>
      </c>
      <c r="C41" s="368" t="s">
        <v>3</v>
      </c>
      <c r="D41" s="368" t="s">
        <v>4</v>
      </c>
      <c r="E41" s="368" t="s">
        <v>5</v>
      </c>
      <c r="F41" s="368" t="s">
        <v>6</v>
      </c>
      <c r="G41" s="368" t="s">
        <v>169</v>
      </c>
      <c r="H41" s="368" t="s">
        <v>168</v>
      </c>
    </row>
    <row r="42" spans="8:8">
      <c r="A42" s="206" t="str">
        <f t="shared" si="8" ref="A42:A50">B14</f>
        <v>Soybean</v>
      </c>
      <c r="B42" s="206">
        <f t="shared" si="9" ref="B42:B50">H14*$B$40</f>
        <v>7622.1</v>
      </c>
      <c r="C42" s="206">
        <f t="shared" si="10" ref="C42:H51">(B42/B$40)*C$40</f>
        <v>8469.0</v>
      </c>
      <c r="D42" s="206">
        <f t="shared" si="10"/>
        <v>9315.900000000001</v>
      </c>
      <c r="E42" s="206">
        <f t="shared" si="10"/>
        <v>10162.800000000001</v>
      </c>
      <c r="F42" s="206">
        <f t="shared" si="10"/>
        <v>11009.7</v>
      </c>
      <c r="G42" s="206">
        <f t="shared" si="10"/>
        <v>11856.6</v>
      </c>
      <c r="H42" s="206">
        <f t="shared" si="10"/>
        <v>12703.5</v>
      </c>
    </row>
    <row r="43" spans="8:8">
      <c r="A43" s="206" t="str">
        <f t="shared" si="8"/>
        <v>Red Gram/Tur</v>
      </c>
      <c r="B43" s="206">
        <f t="shared" si="9"/>
        <v>0.0</v>
      </c>
      <c r="C43" s="206">
        <f t="shared" si="10"/>
        <v>0.0</v>
      </c>
      <c r="D43" s="206">
        <f t="shared" si="10"/>
        <v>0.0</v>
      </c>
      <c r="E43" s="206">
        <f t="shared" si="10"/>
        <v>0.0</v>
      </c>
      <c r="F43" s="206">
        <f t="shared" si="10"/>
        <v>0.0</v>
      </c>
      <c r="G43" s="206">
        <f t="shared" si="10"/>
        <v>0.0</v>
      </c>
      <c r="H43" s="206">
        <f t="shared" si="10"/>
        <v>0.0</v>
      </c>
    </row>
    <row r="44" spans="8:8">
      <c r="A44" s="206" t="str">
        <f t="shared" si="8"/>
        <v>Paddy/Rice</v>
      </c>
      <c r="B44" s="206">
        <f t="shared" si="9"/>
        <v>0.0</v>
      </c>
      <c r="C44" s="206">
        <f t="shared" si="10"/>
        <v>0.0</v>
      </c>
      <c r="D44" s="206">
        <f t="shared" si="10"/>
        <v>0.0</v>
      </c>
      <c r="E44" s="206">
        <f t="shared" si="10"/>
        <v>0.0</v>
      </c>
      <c r="F44" s="206">
        <f t="shared" si="10"/>
        <v>0.0</v>
      </c>
      <c r="G44" s="206">
        <f t="shared" si="10"/>
        <v>0.0</v>
      </c>
      <c r="H44" s="206">
        <f t="shared" si="10"/>
        <v>0.0</v>
      </c>
    </row>
    <row r="45" spans="8:8">
      <c r="A45" s="206" t="str">
        <f t="shared" si="8"/>
        <v>Green Gram/ Moong</v>
      </c>
      <c r="B45" s="206">
        <f t="shared" si="9"/>
        <v>0.0</v>
      </c>
      <c r="C45" s="206">
        <f t="shared" si="10"/>
        <v>0.0</v>
      </c>
      <c r="D45" s="206">
        <f t="shared" si="10"/>
        <v>0.0</v>
      </c>
      <c r="E45" s="206">
        <f t="shared" si="10"/>
        <v>0.0</v>
      </c>
      <c r="F45" s="206">
        <f t="shared" si="10"/>
        <v>0.0</v>
      </c>
      <c r="G45" s="206">
        <f t="shared" si="10"/>
        <v>0.0</v>
      </c>
      <c r="H45" s="206">
        <f t="shared" si="10"/>
        <v>0.0</v>
      </c>
    </row>
    <row r="46" spans="8:8">
      <c r="A46" s="206" t="str">
        <f t="shared" si="8"/>
        <v>Maize</v>
      </c>
      <c r="B46" s="206">
        <f t="shared" si="9"/>
        <v>0.0</v>
      </c>
      <c r="C46" s="206">
        <f t="shared" si="10"/>
        <v>0.0</v>
      </c>
      <c r="D46" s="206">
        <f t="shared" si="10"/>
        <v>0.0</v>
      </c>
      <c r="E46" s="206">
        <f t="shared" si="10"/>
        <v>0.0</v>
      </c>
      <c r="F46" s="206">
        <f t="shared" si="10"/>
        <v>0.0</v>
      </c>
      <c r="G46" s="206">
        <f t="shared" si="10"/>
        <v>0.0</v>
      </c>
      <c r="H46" s="206">
        <f t="shared" si="10"/>
        <v>0.0</v>
      </c>
    </row>
    <row r="47" spans="8:8">
      <c r="A47" s="206" t="str">
        <f t="shared" si="8"/>
        <v>Black Gram/Udid</v>
      </c>
      <c r="B47" s="206">
        <f t="shared" si="9"/>
        <v>0.0</v>
      </c>
      <c r="C47" s="206">
        <f t="shared" si="10"/>
        <v>0.0</v>
      </c>
      <c r="D47" s="206">
        <f t="shared" si="10"/>
        <v>0.0</v>
      </c>
      <c r="E47" s="206">
        <f t="shared" si="10"/>
        <v>0.0</v>
      </c>
      <c r="F47" s="206">
        <f t="shared" si="10"/>
        <v>0.0</v>
      </c>
      <c r="G47" s="206">
        <f t="shared" si="10"/>
        <v>0.0</v>
      </c>
      <c r="H47" s="206">
        <f t="shared" si="10"/>
        <v>0.0</v>
      </c>
    </row>
    <row r="48" spans="8:8">
      <c r="A48" s="206" t="str">
        <f t="shared" si="8"/>
        <v>Bajra</v>
      </c>
      <c r="B48" s="206">
        <f t="shared" si="9"/>
        <v>0.0</v>
      </c>
      <c r="C48" s="206">
        <f t="shared" si="10"/>
        <v>0.0</v>
      </c>
      <c r="D48" s="206">
        <f t="shared" si="10"/>
        <v>0.0</v>
      </c>
      <c r="E48" s="206">
        <f t="shared" si="10"/>
        <v>0.0</v>
      </c>
      <c r="F48" s="206">
        <f t="shared" si="10"/>
        <v>0.0</v>
      </c>
      <c r="G48" s="206">
        <f t="shared" si="10"/>
        <v>0.0</v>
      </c>
      <c r="H48" s="206">
        <f t="shared" si="10"/>
        <v>0.0</v>
      </c>
    </row>
    <row r="49" spans="8:8">
      <c r="A49" s="206" t="str">
        <f t="shared" si="8"/>
        <v>Jawar</v>
      </c>
      <c r="B49" s="206">
        <f t="shared" si="9"/>
        <v>0.0</v>
      </c>
      <c r="C49" s="206">
        <f t="shared" si="10"/>
        <v>0.0</v>
      </c>
      <c r="D49" s="206">
        <f t="shared" si="10"/>
        <v>0.0</v>
      </c>
      <c r="E49" s="206">
        <f t="shared" si="10"/>
        <v>0.0</v>
      </c>
      <c r="F49" s="206">
        <f t="shared" si="10"/>
        <v>0.0</v>
      </c>
      <c r="G49" s="206">
        <f t="shared" si="10"/>
        <v>0.0</v>
      </c>
      <c r="H49" s="206">
        <f t="shared" si="10"/>
        <v>0.0</v>
      </c>
    </row>
    <row r="50" spans="8:8">
      <c r="A50" s="206" t="str">
        <f t="shared" si="8"/>
        <v>Sunflower</v>
      </c>
      <c r="B50" s="206">
        <f t="shared" si="9"/>
        <v>0.0</v>
      </c>
      <c r="C50" s="206">
        <f t="shared" si="10"/>
        <v>0.0</v>
      </c>
      <c r="D50" s="206">
        <f t="shared" si="10"/>
        <v>0.0</v>
      </c>
      <c r="E50" s="206">
        <f t="shared" si="10"/>
        <v>0.0</v>
      </c>
      <c r="F50" s="206">
        <f t="shared" si="10"/>
        <v>0.0</v>
      </c>
      <c r="G50" s="206">
        <f t="shared" si="10"/>
        <v>0.0</v>
      </c>
      <c r="H50" s="206">
        <f t="shared" si="10"/>
        <v>0.0</v>
      </c>
    </row>
    <row r="51" spans="8:8">
      <c r="A51" s="206" t="str">
        <f t="shared" si="11" ref="A51:A58">B24</f>
        <v>Wheat</v>
      </c>
      <c r="B51" s="206">
        <f t="shared" si="12" ref="B51:B58">H24*$B$40</f>
        <v>0.0</v>
      </c>
      <c r="C51" s="206">
        <f t="shared" si="10"/>
        <v>0.0</v>
      </c>
      <c r="D51" s="206">
        <f t="shared" si="10"/>
        <v>0.0</v>
      </c>
      <c r="E51" s="206">
        <f t="shared" si="10"/>
        <v>0.0</v>
      </c>
      <c r="F51" s="206">
        <f t="shared" si="10"/>
        <v>0.0</v>
      </c>
      <c r="G51" s="206">
        <f t="shared" si="10"/>
        <v>0.0</v>
      </c>
      <c r="H51" s="206">
        <f t="shared" si="10"/>
        <v>0.0</v>
      </c>
    </row>
    <row r="52" spans="8:8">
      <c r="A52" s="206" t="str">
        <f t="shared" si="11"/>
        <v>Bengal Gram/Channa</v>
      </c>
      <c r="B52" s="206">
        <f t="shared" si="12"/>
        <v>5716.575</v>
      </c>
      <c r="C52" s="206">
        <f t="shared" si="13" ref="C52:H61">(B52/B$40)*C$40</f>
        <v>6351.75</v>
      </c>
      <c r="D52" s="206">
        <f t="shared" si="13"/>
        <v>6986.925</v>
      </c>
      <c r="E52" s="206">
        <f t="shared" si="13"/>
        <v>7622.100000000001</v>
      </c>
      <c r="F52" s="206">
        <f t="shared" si="13"/>
        <v>8257.275</v>
      </c>
      <c r="G52" s="206">
        <f t="shared" si="13"/>
        <v>8892.449999999999</v>
      </c>
      <c r="H52" s="206">
        <f t="shared" si="13"/>
        <v>9527.624999999996</v>
      </c>
    </row>
    <row r="53" spans="8:8">
      <c r="A53" s="206" t="str">
        <f t="shared" si="11"/>
        <v>Jawar</v>
      </c>
      <c r="B53" s="206">
        <f t="shared" si="12"/>
        <v>2964.15</v>
      </c>
      <c r="C53" s="206">
        <f t="shared" si="13"/>
        <v>3293.5</v>
      </c>
      <c r="D53" s="206">
        <f t="shared" si="13"/>
        <v>3622.8500000000004</v>
      </c>
      <c r="E53" s="206">
        <f t="shared" si="13"/>
        <v>3952.2000000000007</v>
      </c>
      <c r="F53" s="206">
        <f t="shared" si="13"/>
        <v>4281.55</v>
      </c>
      <c r="G53" s="206">
        <f t="shared" si="13"/>
        <v>4610.900000000001</v>
      </c>
      <c r="H53" s="206">
        <f t="shared" si="13"/>
        <v>4940.25</v>
      </c>
    </row>
    <row r="54" spans="8:8">
      <c r="A54" s="206" t="str">
        <f t="shared" si="11"/>
        <v>Maize</v>
      </c>
      <c r="B54" s="206">
        <f t="shared" si="12"/>
        <v>0.0</v>
      </c>
      <c r="C54" s="206">
        <f t="shared" si="13"/>
        <v>0.0</v>
      </c>
      <c r="D54" s="206">
        <f t="shared" si="13"/>
        <v>0.0</v>
      </c>
      <c r="E54" s="206">
        <f t="shared" si="13"/>
        <v>0.0</v>
      </c>
      <c r="F54" s="206">
        <f t="shared" si="13"/>
        <v>0.0</v>
      </c>
      <c r="G54" s="206">
        <f t="shared" si="13"/>
        <v>0.0</v>
      </c>
      <c r="H54" s="206">
        <f t="shared" si="13"/>
        <v>0.0</v>
      </c>
    </row>
    <row r="55" spans="8:8">
      <c r="A55" s="206" t="str">
        <f t="shared" si="11"/>
        <v>Safflower</v>
      </c>
      <c r="B55" s="206">
        <f t="shared" si="12"/>
        <v>0.0</v>
      </c>
      <c r="C55" s="206">
        <f t="shared" si="13"/>
        <v>0.0</v>
      </c>
      <c r="D55" s="206">
        <f t="shared" si="13"/>
        <v>0.0</v>
      </c>
      <c r="E55" s="206">
        <f t="shared" si="13"/>
        <v>0.0</v>
      </c>
      <c r="F55" s="206">
        <f t="shared" si="13"/>
        <v>0.0</v>
      </c>
      <c r="G55" s="206">
        <f t="shared" si="13"/>
        <v>0.0</v>
      </c>
      <c r="H55" s="206">
        <f t="shared" si="13"/>
        <v>0.0</v>
      </c>
    </row>
    <row r="56" spans="8:8">
      <c r="A56" s="206">
        <f t="shared" si="11"/>
        <v>0.0</v>
      </c>
      <c r="B56" s="206">
        <f t="shared" si="12"/>
        <v>0.0</v>
      </c>
      <c r="C56" s="206">
        <f t="shared" si="13"/>
        <v>0.0</v>
      </c>
      <c r="D56" s="206">
        <f t="shared" si="13"/>
        <v>0.0</v>
      </c>
      <c r="E56" s="206">
        <f t="shared" si="13"/>
        <v>0.0</v>
      </c>
      <c r="F56" s="206">
        <f t="shared" si="13"/>
        <v>0.0</v>
      </c>
      <c r="G56" s="206">
        <f t="shared" si="13"/>
        <v>0.0</v>
      </c>
      <c r="H56" s="206">
        <f t="shared" si="13"/>
        <v>0.0</v>
      </c>
    </row>
    <row r="57" spans="8:8">
      <c r="A57" s="206">
        <f t="shared" si="11"/>
        <v>0.0</v>
      </c>
      <c r="B57" s="206">
        <f t="shared" si="12"/>
        <v>0.0</v>
      </c>
      <c r="C57" s="206">
        <f t="shared" si="13"/>
        <v>0.0</v>
      </c>
      <c r="D57" s="206">
        <f t="shared" si="13"/>
        <v>0.0</v>
      </c>
      <c r="E57" s="206">
        <f t="shared" si="13"/>
        <v>0.0</v>
      </c>
      <c r="F57" s="206">
        <f t="shared" si="13"/>
        <v>0.0</v>
      </c>
      <c r="G57" s="206">
        <f t="shared" si="13"/>
        <v>0.0</v>
      </c>
      <c r="H57" s="206">
        <f t="shared" si="13"/>
        <v>0.0</v>
      </c>
    </row>
    <row r="58" spans="8:8">
      <c r="A58" s="206">
        <f t="shared" si="11"/>
        <v>0.0</v>
      </c>
      <c r="B58" s="206">
        <f t="shared" si="12"/>
        <v>0.0</v>
      </c>
      <c r="C58" s="206">
        <f t="shared" si="13"/>
        <v>0.0</v>
      </c>
      <c r="D58" s="206">
        <f t="shared" si="13"/>
        <v>0.0</v>
      </c>
      <c r="E58" s="206">
        <f t="shared" si="13"/>
        <v>0.0</v>
      </c>
      <c r="F58" s="206">
        <f t="shared" si="13"/>
        <v>0.0</v>
      </c>
      <c r="G58" s="206">
        <f t="shared" si="13"/>
        <v>0.0</v>
      </c>
      <c r="H58" s="206">
        <f t="shared" si="13"/>
        <v>0.0</v>
      </c>
    </row>
    <row r="59" spans="8:8">
      <c r="A59" s="206" t="str">
        <f>B33</f>
        <v>Groundnut</v>
      </c>
      <c r="B59" s="206">
        <f>H33*$B$40</f>
        <v>0.0</v>
      </c>
      <c r="C59" s="206">
        <f t="shared" si="13"/>
        <v>0.0</v>
      </c>
      <c r="D59" s="206">
        <f t="shared" si="13"/>
        <v>0.0</v>
      </c>
      <c r="E59" s="206">
        <f t="shared" si="13"/>
        <v>0.0</v>
      </c>
      <c r="F59" s="206">
        <f t="shared" si="13"/>
        <v>0.0</v>
      </c>
      <c r="G59" s="206">
        <f t="shared" si="13"/>
        <v>0.0</v>
      </c>
      <c r="H59" s="206">
        <f t="shared" si="13"/>
        <v>0.0</v>
      </c>
    </row>
    <row r="60" spans="8:8">
      <c r="A60" s="206">
        <f>B34</f>
        <v>0.0</v>
      </c>
      <c r="B60" s="206">
        <f>H34*$B$40</f>
        <v>0.0</v>
      </c>
      <c r="C60" s="206">
        <f t="shared" si="13"/>
        <v>0.0</v>
      </c>
      <c r="D60" s="206">
        <f t="shared" si="13"/>
        <v>0.0</v>
      </c>
      <c r="E60" s="206">
        <f t="shared" si="13"/>
        <v>0.0</v>
      </c>
      <c r="F60" s="206">
        <f t="shared" si="13"/>
        <v>0.0</v>
      </c>
      <c r="G60" s="206">
        <f t="shared" si="13"/>
        <v>0.0</v>
      </c>
      <c r="H60" s="206">
        <f t="shared" si="13"/>
        <v>0.0</v>
      </c>
    </row>
    <row r="61" spans="8:8">
      <c r="A61" s="206">
        <f>B35</f>
        <v>0.0</v>
      </c>
      <c r="B61" s="206">
        <f>H35*$B$40</f>
        <v>0.0</v>
      </c>
      <c r="C61" s="206">
        <f t="shared" si="13"/>
        <v>0.0</v>
      </c>
      <c r="D61" s="206">
        <f t="shared" si="13"/>
        <v>0.0</v>
      </c>
      <c r="E61" s="206">
        <f t="shared" si="13"/>
        <v>0.0</v>
      </c>
      <c r="F61" s="206">
        <f t="shared" si="13"/>
        <v>0.0</v>
      </c>
      <c r="G61" s="206">
        <f t="shared" si="13"/>
        <v>0.0</v>
      </c>
      <c r="H61" s="206">
        <f t="shared" si="13"/>
        <v>0.0</v>
      </c>
    </row>
    <row r="62" spans="8:8">
      <c r="A62" s="206">
        <f>B36</f>
        <v>0.0</v>
      </c>
      <c r="B62" s="206">
        <f>H36*$B$40</f>
        <v>0.0</v>
      </c>
      <c r="C62" s="206">
        <f t="shared" si="14" ref="C62:H62">(B62/B$40)*C$40</f>
        <v>0.0</v>
      </c>
      <c r="D62" s="206">
        <f t="shared" si="14"/>
        <v>0.0</v>
      </c>
      <c r="E62" s="206">
        <f t="shared" si="14"/>
        <v>0.0</v>
      </c>
      <c r="F62" s="206">
        <f t="shared" si="14"/>
        <v>0.0</v>
      </c>
      <c r="G62" s="206">
        <f t="shared" si="14"/>
        <v>0.0</v>
      </c>
      <c r="H62" s="206">
        <f t="shared" si="14"/>
        <v>0.0</v>
      </c>
    </row>
    <row r="64" spans="8:8" ht="18.75">
      <c r="A64" s="403" t="s">
        <v>593</v>
      </c>
      <c r="B64" s="404"/>
      <c r="C64" s="404"/>
      <c r="D64" s="404"/>
      <c r="E64" s="404"/>
      <c r="F64" s="404"/>
      <c r="G64" s="404"/>
      <c r="H64" s="405"/>
    </row>
    <row r="65" spans="8:8">
      <c r="A65" s="406" t="s">
        <v>0</v>
      </c>
      <c r="B65" s="407">
        <v>0.1</v>
      </c>
      <c r="C65" s="407">
        <f>B65+0.05</f>
        <v>0.15000000000000002</v>
      </c>
      <c r="D65" s="407">
        <f t="shared" si="15" ref="D65:G65">C65+0.05</f>
        <v>0.2</v>
      </c>
      <c r="E65" s="407">
        <f t="shared" si="15"/>
        <v>0.25</v>
      </c>
      <c r="F65" s="407">
        <f t="shared" si="15"/>
        <v>0.3</v>
      </c>
      <c r="G65" s="407">
        <f t="shared" si="15"/>
        <v>0.35</v>
      </c>
      <c r="H65" s="407">
        <f>G65+0.05</f>
        <v>0.39999999999999997</v>
      </c>
    </row>
    <row r="66" spans="8:8">
      <c r="A66" s="408"/>
      <c r="B66" s="368" t="s">
        <v>2</v>
      </c>
      <c r="C66" s="368" t="s">
        <v>3</v>
      </c>
      <c r="D66" s="368" t="s">
        <v>4</v>
      </c>
      <c r="E66" s="368" t="s">
        <v>5</v>
      </c>
      <c r="F66" s="368" t="s">
        <v>6</v>
      </c>
      <c r="G66" s="368" t="s">
        <v>169</v>
      </c>
      <c r="H66" s="368" t="s">
        <v>168</v>
      </c>
    </row>
    <row r="67" spans="8:8" s="127" ht="15.0" customFormat="1">
      <c r="A67" s="206" t="str">
        <f t="shared" si="16" ref="A67:A87">A42</f>
        <v>Soybean</v>
      </c>
      <c r="B67" s="206">
        <f>H14*$B$65*0</f>
        <v>0.0</v>
      </c>
      <c r="C67" s="206">
        <f>(B67/B$65)*C$65</f>
        <v>0.0</v>
      </c>
      <c r="D67" s="206">
        <f t="shared" si="17" ref="D67:H68">(C67/C$65)*D$65</f>
        <v>0.0</v>
      </c>
      <c r="E67" s="206">
        <f t="shared" si="17"/>
        <v>0.0</v>
      </c>
      <c r="F67" s="206">
        <f t="shared" si="17"/>
        <v>0.0</v>
      </c>
      <c r="G67" s="206">
        <f t="shared" si="17"/>
        <v>0.0</v>
      </c>
      <c r="H67" s="206">
        <f t="shared" si="17"/>
        <v>0.0</v>
      </c>
    </row>
    <row r="68" spans="8:8">
      <c r="A68" s="206" t="str">
        <f t="shared" si="16"/>
        <v>Red Gram/Tur</v>
      </c>
      <c r="B68" s="206">
        <f t="shared" si="18" ref="B68:B75">H15*$B$65</f>
        <v>0.0</v>
      </c>
      <c r="C68" s="206">
        <f>(B68/B$65)*C$65</f>
        <v>0.0</v>
      </c>
      <c r="D68" s="206">
        <f t="shared" si="17"/>
        <v>0.0</v>
      </c>
      <c r="E68" s="206">
        <f t="shared" si="17"/>
        <v>0.0</v>
      </c>
      <c r="F68" s="206">
        <f t="shared" si="17"/>
        <v>0.0</v>
      </c>
      <c r="G68" s="206">
        <f t="shared" si="17"/>
        <v>0.0</v>
      </c>
      <c r="H68" s="206">
        <f t="shared" si="17"/>
        <v>0.0</v>
      </c>
    </row>
    <row r="69" spans="8:8">
      <c r="A69" s="206" t="str">
        <f t="shared" si="16"/>
        <v>Paddy/Rice</v>
      </c>
      <c r="B69" s="206">
        <f t="shared" si="18"/>
        <v>0.0</v>
      </c>
      <c r="C69" s="206">
        <f t="shared" si="19" ref="C69:H69">(B69/B$65)*C$65</f>
        <v>0.0</v>
      </c>
      <c r="D69" s="206">
        <f t="shared" si="19"/>
        <v>0.0</v>
      </c>
      <c r="E69" s="206">
        <f t="shared" si="19"/>
        <v>0.0</v>
      </c>
      <c r="F69" s="206">
        <f t="shared" si="19"/>
        <v>0.0</v>
      </c>
      <c r="G69" s="206">
        <f t="shared" si="19"/>
        <v>0.0</v>
      </c>
      <c r="H69" s="206">
        <f t="shared" si="19"/>
        <v>0.0</v>
      </c>
    </row>
    <row r="70" spans="8:8">
      <c r="A70" s="206" t="str">
        <f t="shared" si="16"/>
        <v>Green Gram/ Moong</v>
      </c>
      <c r="B70" s="206">
        <f t="shared" si="18"/>
        <v>0.0</v>
      </c>
      <c r="C70" s="206">
        <f t="shared" si="20" ref="C70:H70">(B70/B$65)*C$65</f>
        <v>0.0</v>
      </c>
      <c r="D70" s="206">
        <f t="shared" si="20"/>
        <v>0.0</v>
      </c>
      <c r="E70" s="206">
        <f t="shared" si="20"/>
        <v>0.0</v>
      </c>
      <c r="F70" s="206">
        <f t="shared" si="20"/>
        <v>0.0</v>
      </c>
      <c r="G70" s="206">
        <f t="shared" si="20"/>
        <v>0.0</v>
      </c>
      <c r="H70" s="206">
        <f t="shared" si="20"/>
        <v>0.0</v>
      </c>
    </row>
    <row r="71" spans="8:8">
      <c r="A71" s="206" t="str">
        <f t="shared" si="16"/>
        <v>Maize</v>
      </c>
      <c r="B71" s="206">
        <f t="shared" si="18"/>
        <v>0.0</v>
      </c>
      <c r="C71" s="206">
        <f t="shared" si="21" ref="C71:H71">(B71/B$65)*C$65</f>
        <v>0.0</v>
      </c>
      <c r="D71" s="206">
        <f t="shared" si="21"/>
        <v>0.0</v>
      </c>
      <c r="E71" s="206">
        <f t="shared" si="21"/>
        <v>0.0</v>
      </c>
      <c r="F71" s="206">
        <f t="shared" si="21"/>
        <v>0.0</v>
      </c>
      <c r="G71" s="206">
        <f t="shared" si="21"/>
        <v>0.0</v>
      </c>
      <c r="H71" s="206">
        <f t="shared" si="21"/>
        <v>0.0</v>
      </c>
    </row>
    <row r="72" spans="8:8">
      <c r="A72" s="206" t="str">
        <f t="shared" si="16"/>
        <v>Black Gram/Udid</v>
      </c>
      <c r="B72" s="206">
        <f t="shared" si="18"/>
        <v>0.0</v>
      </c>
      <c r="C72" s="206">
        <f t="shared" si="22" ref="C72:H72">(B72/B$65)*C$65</f>
        <v>0.0</v>
      </c>
      <c r="D72" s="206">
        <f t="shared" si="22"/>
        <v>0.0</v>
      </c>
      <c r="E72" s="206">
        <f t="shared" si="22"/>
        <v>0.0</v>
      </c>
      <c r="F72" s="206">
        <f t="shared" si="22"/>
        <v>0.0</v>
      </c>
      <c r="G72" s="206">
        <f t="shared" si="22"/>
        <v>0.0</v>
      </c>
      <c r="H72" s="206">
        <f t="shared" si="22"/>
        <v>0.0</v>
      </c>
    </row>
    <row r="73" spans="8:8">
      <c r="A73" s="206" t="str">
        <f t="shared" si="16"/>
        <v>Bajra</v>
      </c>
      <c r="B73" s="206">
        <f t="shared" si="18"/>
        <v>0.0</v>
      </c>
      <c r="C73" s="206">
        <f t="shared" si="23" ref="C73:H73">(B73/B$65)*C$65</f>
        <v>0.0</v>
      </c>
      <c r="D73" s="206">
        <f t="shared" si="23"/>
        <v>0.0</v>
      </c>
      <c r="E73" s="206">
        <f t="shared" si="23"/>
        <v>0.0</v>
      </c>
      <c r="F73" s="206">
        <f t="shared" si="23"/>
        <v>0.0</v>
      </c>
      <c r="G73" s="206">
        <f t="shared" si="23"/>
        <v>0.0</v>
      </c>
      <c r="H73" s="206">
        <f t="shared" si="23"/>
        <v>0.0</v>
      </c>
    </row>
    <row r="74" spans="8:8">
      <c r="A74" s="206" t="str">
        <f t="shared" si="16"/>
        <v>Jawar</v>
      </c>
      <c r="B74" s="206">
        <f t="shared" si="18"/>
        <v>0.0</v>
      </c>
      <c r="C74" s="206">
        <f t="shared" si="24" ref="C74:H74">(B74/B$65)*C$65</f>
        <v>0.0</v>
      </c>
      <c r="D74" s="206">
        <f t="shared" si="24"/>
        <v>0.0</v>
      </c>
      <c r="E74" s="206">
        <f t="shared" si="24"/>
        <v>0.0</v>
      </c>
      <c r="F74" s="206">
        <f t="shared" si="24"/>
        <v>0.0</v>
      </c>
      <c r="G74" s="206">
        <f t="shared" si="24"/>
        <v>0.0</v>
      </c>
      <c r="H74" s="206">
        <f t="shared" si="24"/>
        <v>0.0</v>
      </c>
    </row>
    <row r="75" spans="8:8">
      <c r="A75" s="206" t="str">
        <f t="shared" si="16"/>
        <v>Sunflower</v>
      </c>
      <c r="B75" s="206">
        <f t="shared" si="18"/>
        <v>0.0</v>
      </c>
      <c r="C75" s="206">
        <f t="shared" si="25" ref="C75:H75">(B75/B$65)*C$65</f>
        <v>0.0</v>
      </c>
      <c r="D75" s="206">
        <f t="shared" si="25"/>
        <v>0.0</v>
      </c>
      <c r="E75" s="206">
        <f t="shared" si="25"/>
        <v>0.0</v>
      </c>
      <c r="F75" s="206">
        <f t="shared" si="25"/>
        <v>0.0</v>
      </c>
      <c r="G75" s="206">
        <f t="shared" si="25"/>
        <v>0.0</v>
      </c>
      <c r="H75" s="206">
        <f t="shared" si="25"/>
        <v>0.0</v>
      </c>
    </row>
    <row r="76" spans="8:8">
      <c r="A76" s="206" t="str">
        <f t="shared" si="16"/>
        <v>Wheat</v>
      </c>
      <c r="B76" s="206">
        <f t="shared" si="26" ref="B76:B83">H24*$B$65</f>
        <v>0.0</v>
      </c>
      <c r="C76" s="206">
        <f t="shared" si="27" ref="C76:H76">(B76/B$65)*C$65</f>
        <v>0.0</v>
      </c>
      <c r="D76" s="206">
        <f t="shared" si="27"/>
        <v>0.0</v>
      </c>
      <c r="E76" s="206">
        <f t="shared" si="27"/>
        <v>0.0</v>
      </c>
      <c r="F76" s="206">
        <f t="shared" si="27"/>
        <v>0.0</v>
      </c>
      <c r="G76" s="206">
        <f t="shared" si="27"/>
        <v>0.0</v>
      </c>
      <c r="H76" s="206">
        <f t="shared" si="27"/>
        <v>0.0</v>
      </c>
    </row>
    <row r="77" spans="8:8">
      <c r="A77" s="206" t="str">
        <f t="shared" si="16"/>
        <v>Bengal Gram/Channa</v>
      </c>
      <c r="B77" s="206">
        <f>H25*$B$65*0</f>
        <v>0.0</v>
      </c>
      <c r="C77" s="206">
        <f t="shared" si="28" ref="C77:H77">(B77/B$65)*C$65</f>
        <v>0.0</v>
      </c>
      <c r="D77" s="206">
        <f t="shared" si="28"/>
        <v>0.0</v>
      </c>
      <c r="E77" s="206">
        <f t="shared" si="28"/>
        <v>0.0</v>
      </c>
      <c r="F77" s="206">
        <f t="shared" si="28"/>
        <v>0.0</v>
      </c>
      <c r="G77" s="206">
        <f t="shared" si="28"/>
        <v>0.0</v>
      </c>
      <c r="H77" s="206">
        <f t="shared" si="28"/>
        <v>0.0</v>
      </c>
    </row>
    <row r="78" spans="8:8">
      <c r="A78" s="206" t="str">
        <f t="shared" si="16"/>
        <v>Jawar</v>
      </c>
      <c r="B78" s="206">
        <f>H26*$B$65*0</f>
        <v>0.0</v>
      </c>
      <c r="C78" s="206">
        <f t="shared" si="29" ref="C78:H78">(B78/B$65)*C$65</f>
        <v>0.0</v>
      </c>
      <c r="D78" s="206">
        <f t="shared" si="29"/>
        <v>0.0</v>
      </c>
      <c r="E78" s="206">
        <f t="shared" si="29"/>
        <v>0.0</v>
      </c>
      <c r="F78" s="206">
        <f t="shared" si="29"/>
        <v>0.0</v>
      </c>
      <c r="G78" s="206">
        <f t="shared" si="29"/>
        <v>0.0</v>
      </c>
      <c r="H78" s="206">
        <f t="shared" si="29"/>
        <v>0.0</v>
      </c>
    </row>
    <row r="79" spans="8:8">
      <c r="A79" s="206" t="str">
        <f t="shared" si="16"/>
        <v>Maize</v>
      </c>
      <c r="B79" s="206">
        <f t="shared" si="26"/>
        <v>0.0</v>
      </c>
      <c r="C79" s="206">
        <f t="shared" si="30" ref="C79:H79">(B79/B$65)*C$65</f>
        <v>0.0</v>
      </c>
      <c r="D79" s="206">
        <f t="shared" si="30"/>
        <v>0.0</v>
      </c>
      <c r="E79" s="206">
        <f t="shared" si="30"/>
        <v>0.0</v>
      </c>
      <c r="F79" s="206">
        <f t="shared" si="30"/>
        <v>0.0</v>
      </c>
      <c r="G79" s="206">
        <f t="shared" si="30"/>
        <v>0.0</v>
      </c>
      <c r="H79" s="206">
        <f t="shared" si="30"/>
        <v>0.0</v>
      </c>
    </row>
    <row r="80" spans="8:8">
      <c r="A80" s="206" t="str">
        <f t="shared" si="16"/>
        <v>Safflower</v>
      </c>
      <c r="B80" s="206">
        <f t="shared" si="26"/>
        <v>0.0</v>
      </c>
      <c r="C80" s="206">
        <f t="shared" si="31" ref="C80:H80">(B80/B$65)*C$65</f>
        <v>0.0</v>
      </c>
      <c r="D80" s="206">
        <f t="shared" si="31"/>
        <v>0.0</v>
      </c>
      <c r="E80" s="206">
        <f t="shared" si="31"/>
        <v>0.0</v>
      </c>
      <c r="F80" s="206">
        <f t="shared" si="31"/>
        <v>0.0</v>
      </c>
      <c r="G80" s="206">
        <f t="shared" si="31"/>
        <v>0.0</v>
      </c>
      <c r="H80" s="206">
        <f t="shared" si="31"/>
        <v>0.0</v>
      </c>
    </row>
    <row r="81" spans="8:8">
      <c r="A81" s="206">
        <f t="shared" si="16"/>
        <v>0.0</v>
      </c>
      <c r="B81" s="206">
        <f t="shared" si="26"/>
        <v>0.0</v>
      </c>
      <c r="C81" s="206">
        <f t="shared" si="32" ref="C81:H81">(B81/B$65)*C$65</f>
        <v>0.0</v>
      </c>
      <c r="D81" s="206">
        <f t="shared" si="32"/>
        <v>0.0</v>
      </c>
      <c r="E81" s="206">
        <f t="shared" si="32"/>
        <v>0.0</v>
      </c>
      <c r="F81" s="206">
        <f t="shared" si="32"/>
        <v>0.0</v>
      </c>
      <c r="G81" s="206">
        <f t="shared" si="32"/>
        <v>0.0</v>
      </c>
      <c r="H81" s="206">
        <f t="shared" si="32"/>
        <v>0.0</v>
      </c>
    </row>
    <row r="82" spans="8:8">
      <c r="A82" s="206">
        <f t="shared" si="16"/>
        <v>0.0</v>
      </c>
      <c r="B82" s="206">
        <f t="shared" si="26"/>
        <v>0.0</v>
      </c>
      <c r="C82" s="206">
        <f t="shared" si="33" ref="C82:H82">(B82/B$65)*C$65</f>
        <v>0.0</v>
      </c>
      <c r="D82" s="206">
        <f t="shared" si="33"/>
        <v>0.0</v>
      </c>
      <c r="E82" s="206">
        <f t="shared" si="33"/>
        <v>0.0</v>
      </c>
      <c r="F82" s="206">
        <f t="shared" si="33"/>
        <v>0.0</v>
      </c>
      <c r="G82" s="206">
        <f t="shared" si="33"/>
        <v>0.0</v>
      </c>
      <c r="H82" s="206">
        <f t="shared" si="33"/>
        <v>0.0</v>
      </c>
    </row>
    <row r="83" spans="8:8">
      <c r="A83" s="206">
        <f t="shared" si="16"/>
        <v>0.0</v>
      </c>
      <c r="B83" s="206">
        <f t="shared" si="26"/>
        <v>0.0</v>
      </c>
      <c r="C83" s="206">
        <f t="shared" si="34" ref="C83:H83">(B83/B$65)*C$65</f>
        <v>0.0</v>
      </c>
      <c r="D83" s="206">
        <f t="shared" si="34"/>
        <v>0.0</v>
      </c>
      <c r="E83" s="206">
        <f t="shared" si="34"/>
        <v>0.0</v>
      </c>
      <c r="F83" s="206">
        <f t="shared" si="34"/>
        <v>0.0</v>
      </c>
      <c r="G83" s="206">
        <f t="shared" si="34"/>
        <v>0.0</v>
      </c>
      <c r="H83" s="206">
        <f t="shared" si="34"/>
        <v>0.0</v>
      </c>
    </row>
    <row r="84" spans="8:8">
      <c r="A84" s="206" t="str">
        <f t="shared" si="16"/>
        <v>Groundnut</v>
      </c>
      <c r="B84" s="206">
        <f>H33*$B$65</f>
        <v>0.0</v>
      </c>
      <c r="C84" s="206">
        <f t="shared" si="35" ref="C84:H84">(B84/B$65)*C$65</f>
        <v>0.0</v>
      </c>
      <c r="D84" s="206">
        <f t="shared" si="35"/>
        <v>0.0</v>
      </c>
      <c r="E84" s="206">
        <f t="shared" si="35"/>
        <v>0.0</v>
      </c>
      <c r="F84" s="206">
        <f t="shared" si="35"/>
        <v>0.0</v>
      </c>
      <c r="G84" s="206">
        <f t="shared" si="35"/>
        <v>0.0</v>
      </c>
      <c r="H84" s="206">
        <f t="shared" si="35"/>
        <v>0.0</v>
      </c>
    </row>
    <row r="85" spans="8:8">
      <c r="A85" s="206">
        <f t="shared" si="16"/>
        <v>0.0</v>
      </c>
      <c r="B85" s="206">
        <f>H34*$B$65</f>
        <v>0.0</v>
      </c>
      <c r="C85" s="206">
        <f t="shared" si="36" ref="C85:H85">(B85/B$65)*C$65</f>
        <v>0.0</v>
      </c>
      <c r="D85" s="206">
        <f t="shared" si="36"/>
        <v>0.0</v>
      </c>
      <c r="E85" s="206">
        <f t="shared" si="36"/>
        <v>0.0</v>
      </c>
      <c r="F85" s="206">
        <f t="shared" si="36"/>
        <v>0.0</v>
      </c>
      <c r="G85" s="206">
        <f t="shared" si="36"/>
        <v>0.0</v>
      </c>
      <c r="H85" s="206">
        <f t="shared" si="36"/>
        <v>0.0</v>
      </c>
    </row>
    <row r="86" spans="8:8">
      <c r="A86" s="206">
        <f t="shared" si="16"/>
        <v>0.0</v>
      </c>
      <c r="B86" s="206">
        <f>H35*$B$65</f>
        <v>0.0</v>
      </c>
      <c r="C86" s="206">
        <f t="shared" si="37" ref="C86:H86">(B86/B$65)*C$65</f>
        <v>0.0</v>
      </c>
      <c r="D86" s="206">
        <f t="shared" si="37"/>
        <v>0.0</v>
      </c>
      <c r="E86" s="206">
        <f t="shared" si="37"/>
        <v>0.0</v>
      </c>
      <c r="F86" s="206">
        <f t="shared" si="37"/>
        <v>0.0</v>
      </c>
      <c r="G86" s="206">
        <f t="shared" si="37"/>
        <v>0.0</v>
      </c>
      <c r="H86" s="206">
        <f t="shared" si="37"/>
        <v>0.0</v>
      </c>
    </row>
    <row r="87" spans="8:8">
      <c r="A87" s="206">
        <f t="shared" si="16"/>
        <v>0.0</v>
      </c>
      <c r="B87" s="206">
        <f>H36*$B$65</f>
        <v>0.0</v>
      </c>
      <c r="C87" s="206">
        <f t="shared" si="38" ref="C87:H87">(B87/B$65)*C$65</f>
        <v>0.0</v>
      </c>
      <c r="D87" s="206">
        <f t="shared" si="38"/>
        <v>0.0</v>
      </c>
      <c r="E87" s="206">
        <f t="shared" si="38"/>
        <v>0.0</v>
      </c>
      <c r="F87" s="206">
        <f t="shared" si="38"/>
        <v>0.0</v>
      </c>
      <c r="G87" s="206">
        <f t="shared" si="38"/>
        <v>0.0</v>
      </c>
      <c r="H87" s="206">
        <f t="shared" si="38"/>
        <v>0.0</v>
      </c>
    </row>
    <row r="88" spans="8:8">
      <c r="B88" s="409"/>
      <c r="C88" s="409"/>
      <c r="D88" s="409"/>
      <c r="E88" s="409"/>
      <c r="F88" s="409"/>
      <c r="G88" s="409"/>
      <c r="H88" s="409"/>
      <c r="I88" s="409"/>
    </row>
    <row r="89" spans="8:8">
      <c r="A89" s="410" t="s">
        <v>594</v>
      </c>
      <c r="B89" s="411"/>
      <c r="C89" s="411"/>
      <c r="D89" s="411"/>
      <c r="E89" s="411"/>
      <c r="F89" s="411"/>
      <c r="G89" s="411"/>
      <c r="H89" s="412"/>
    </row>
    <row r="90" spans="8:8">
      <c r="A90" s="413" t="s">
        <v>0</v>
      </c>
      <c r="B90" s="414">
        <v>0.65</v>
      </c>
      <c r="C90" s="415">
        <f>B90+0.05</f>
        <v>0.7000000000000001</v>
      </c>
      <c r="D90" s="415">
        <f t="shared" si="39" ref="D90:G90">C90+0.05</f>
        <v>0.75</v>
      </c>
      <c r="E90" s="415">
        <f t="shared" si="39"/>
        <v>0.8</v>
      </c>
      <c r="F90" s="415">
        <f t="shared" si="39"/>
        <v>0.8500000000000001</v>
      </c>
      <c r="G90" s="415">
        <f t="shared" si="39"/>
        <v>0.9</v>
      </c>
      <c r="H90" s="415">
        <f>G90+0.05</f>
        <v>0.9500000000000001</v>
      </c>
    </row>
    <row r="91" spans="8:8">
      <c r="A91" s="416"/>
      <c r="B91" s="368" t="s">
        <v>2</v>
      </c>
      <c r="C91" s="368" t="s">
        <v>3</v>
      </c>
      <c r="D91" s="368" t="s">
        <v>4</v>
      </c>
      <c r="E91" s="368" t="s">
        <v>5</v>
      </c>
      <c r="F91" s="368" t="s">
        <v>6</v>
      </c>
      <c r="G91" s="368" t="s">
        <v>169</v>
      </c>
      <c r="H91" s="368" t="s">
        <v>168</v>
      </c>
    </row>
    <row r="92" spans="8:8" s="127" ht="15.0" customFormat="1">
      <c r="A92" s="206" t="str">
        <f t="shared" si="40" ref="A92:A112">A67</f>
        <v>Soybean</v>
      </c>
      <c r="B92" s="206">
        <f>D14*$B$90*0</f>
        <v>0.0</v>
      </c>
      <c r="C92" s="417">
        <f t="shared" si="41" ref="C92:H92">(B92/B$90)*C$90</f>
        <v>0.0</v>
      </c>
      <c r="D92" s="417">
        <f t="shared" si="41"/>
        <v>0.0</v>
      </c>
      <c r="E92" s="417">
        <f t="shared" si="41"/>
        <v>0.0</v>
      </c>
      <c r="F92" s="417">
        <f t="shared" si="41"/>
        <v>0.0</v>
      </c>
      <c r="G92" s="417">
        <f t="shared" si="41"/>
        <v>0.0</v>
      </c>
      <c r="H92" s="417">
        <f t="shared" si="41"/>
        <v>0.0</v>
      </c>
    </row>
    <row r="93" spans="8:8">
      <c r="A93" s="206" t="str">
        <f t="shared" si="40"/>
        <v>Red Gram/Tur</v>
      </c>
      <c r="B93" s="206">
        <f t="shared" si="42" ref="B93:B100">D15*$B$90</f>
        <v>0.0</v>
      </c>
      <c r="C93" s="417">
        <f t="shared" si="43" ref="C93:C113">(B93/B$90)*C$90</f>
        <v>0.0</v>
      </c>
      <c r="D93" s="417">
        <f>(C93/C90)*D90</f>
        <v>0.0</v>
      </c>
      <c r="E93" s="417">
        <f t="shared" si="44" ref="E93:G93">(D93/D90)*E90</f>
        <v>0.0</v>
      </c>
      <c r="F93" s="417">
        <f t="shared" si="44"/>
        <v>0.0</v>
      </c>
      <c r="G93" s="417">
        <f t="shared" si="44"/>
        <v>0.0</v>
      </c>
      <c r="H93" s="417">
        <f>(G93/G90)*H90</f>
        <v>0.0</v>
      </c>
    </row>
    <row r="94" spans="8:8">
      <c r="A94" s="206" t="str">
        <f t="shared" si="40"/>
        <v>Paddy/Rice</v>
      </c>
      <c r="B94" s="206">
        <f t="shared" si="42"/>
        <v>0.0</v>
      </c>
      <c r="C94" s="417">
        <f t="shared" si="43"/>
        <v>0.0</v>
      </c>
      <c r="D94" s="417">
        <f t="shared" si="45" ref="D94:H103">(C94/C$90)*D$90</f>
        <v>0.0</v>
      </c>
      <c r="E94" s="417">
        <f t="shared" si="45"/>
        <v>0.0</v>
      </c>
      <c r="F94" s="417">
        <f t="shared" si="45"/>
        <v>0.0</v>
      </c>
      <c r="G94" s="417">
        <f t="shared" si="45"/>
        <v>0.0</v>
      </c>
      <c r="H94" s="417">
        <f t="shared" si="45"/>
        <v>0.0</v>
      </c>
    </row>
    <row r="95" spans="8:8">
      <c r="A95" s="206" t="str">
        <f t="shared" si="40"/>
        <v>Green Gram/ Moong</v>
      </c>
      <c r="B95" s="206">
        <f t="shared" si="42"/>
        <v>0.0</v>
      </c>
      <c r="C95" s="417">
        <f t="shared" si="43"/>
        <v>0.0</v>
      </c>
      <c r="D95" s="417">
        <f t="shared" si="45"/>
        <v>0.0</v>
      </c>
      <c r="E95" s="417">
        <f t="shared" si="45"/>
        <v>0.0</v>
      </c>
      <c r="F95" s="417">
        <f t="shared" si="45"/>
        <v>0.0</v>
      </c>
      <c r="G95" s="417">
        <f t="shared" si="45"/>
        <v>0.0</v>
      </c>
      <c r="H95" s="417">
        <f t="shared" si="45"/>
        <v>0.0</v>
      </c>
    </row>
    <row r="96" spans="8:8">
      <c r="A96" s="206" t="str">
        <f t="shared" si="40"/>
        <v>Maize</v>
      </c>
      <c r="B96" s="417">
        <f t="shared" si="42"/>
        <v>0.0</v>
      </c>
      <c r="C96" s="417">
        <f t="shared" si="43"/>
        <v>0.0</v>
      </c>
      <c r="D96" s="417">
        <f t="shared" si="45"/>
        <v>0.0</v>
      </c>
      <c r="E96" s="417">
        <f t="shared" si="45"/>
        <v>0.0</v>
      </c>
      <c r="F96" s="417">
        <f t="shared" si="45"/>
        <v>0.0</v>
      </c>
      <c r="G96" s="417">
        <f t="shared" si="45"/>
        <v>0.0</v>
      </c>
      <c r="H96" s="417">
        <f t="shared" si="45"/>
        <v>0.0</v>
      </c>
    </row>
    <row r="97" spans="8:8">
      <c r="A97" s="206" t="str">
        <f t="shared" si="40"/>
        <v>Black Gram/Udid</v>
      </c>
      <c r="B97" s="206">
        <f t="shared" si="42"/>
        <v>0.0</v>
      </c>
      <c r="C97" s="417">
        <f t="shared" si="43"/>
        <v>0.0</v>
      </c>
      <c r="D97" s="417">
        <f t="shared" si="45"/>
        <v>0.0</v>
      </c>
      <c r="E97" s="417">
        <f t="shared" si="45"/>
        <v>0.0</v>
      </c>
      <c r="F97" s="417">
        <f t="shared" si="45"/>
        <v>0.0</v>
      </c>
      <c r="G97" s="417">
        <f t="shared" si="45"/>
        <v>0.0</v>
      </c>
      <c r="H97" s="417">
        <f t="shared" si="45"/>
        <v>0.0</v>
      </c>
    </row>
    <row r="98" spans="8:8">
      <c r="A98" s="206" t="str">
        <f t="shared" si="40"/>
        <v>Bajra</v>
      </c>
      <c r="B98" s="206">
        <f t="shared" si="42"/>
        <v>0.0</v>
      </c>
      <c r="C98" s="417">
        <f t="shared" si="43"/>
        <v>0.0</v>
      </c>
      <c r="D98" s="417">
        <f t="shared" si="45"/>
        <v>0.0</v>
      </c>
      <c r="E98" s="417">
        <f t="shared" si="45"/>
        <v>0.0</v>
      </c>
      <c r="F98" s="417">
        <f t="shared" si="45"/>
        <v>0.0</v>
      </c>
      <c r="G98" s="417">
        <f t="shared" si="45"/>
        <v>0.0</v>
      </c>
      <c r="H98" s="417">
        <f t="shared" si="45"/>
        <v>0.0</v>
      </c>
    </row>
    <row r="99" spans="8:8">
      <c r="A99" s="206" t="str">
        <f t="shared" si="40"/>
        <v>Jawar</v>
      </c>
      <c r="B99" s="206">
        <f t="shared" si="42"/>
        <v>0.0</v>
      </c>
      <c r="C99" s="417">
        <f t="shared" si="43"/>
        <v>0.0</v>
      </c>
      <c r="D99" s="417">
        <f t="shared" si="45"/>
        <v>0.0</v>
      </c>
      <c r="E99" s="417">
        <f t="shared" si="45"/>
        <v>0.0</v>
      </c>
      <c r="F99" s="417">
        <f t="shared" si="45"/>
        <v>0.0</v>
      </c>
      <c r="G99" s="417">
        <f t="shared" si="45"/>
        <v>0.0</v>
      </c>
      <c r="H99" s="417">
        <f t="shared" si="45"/>
        <v>0.0</v>
      </c>
    </row>
    <row r="100" spans="8:8">
      <c r="A100" s="206" t="str">
        <f t="shared" si="40"/>
        <v>Sunflower</v>
      </c>
      <c r="B100" s="206">
        <f t="shared" si="42"/>
        <v>0.0</v>
      </c>
      <c r="C100" s="417">
        <f t="shared" si="43"/>
        <v>0.0</v>
      </c>
      <c r="D100" s="417">
        <f t="shared" si="45"/>
        <v>0.0</v>
      </c>
      <c r="E100" s="417">
        <f t="shared" si="45"/>
        <v>0.0</v>
      </c>
      <c r="F100" s="417">
        <f t="shared" si="45"/>
        <v>0.0</v>
      </c>
      <c r="G100" s="417">
        <f t="shared" si="45"/>
        <v>0.0</v>
      </c>
      <c r="H100" s="417">
        <f t="shared" si="45"/>
        <v>0.0</v>
      </c>
    </row>
    <row r="101" spans="8:8">
      <c r="A101" s="206" t="str">
        <f t="shared" si="40"/>
        <v>Wheat</v>
      </c>
      <c r="B101" s="206">
        <f t="shared" si="46" ref="B101:B108">D24*$B$90</f>
        <v>0.0</v>
      </c>
      <c r="C101" s="417">
        <f t="shared" si="43"/>
        <v>0.0</v>
      </c>
      <c r="D101" s="417">
        <f t="shared" si="45"/>
        <v>0.0</v>
      </c>
      <c r="E101" s="417">
        <f t="shared" si="45"/>
        <v>0.0</v>
      </c>
      <c r="F101" s="417">
        <f t="shared" si="45"/>
        <v>0.0</v>
      </c>
      <c r="G101" s="417">
        <f t="shared" si="45"/>
        <v>0.0</v>
      </c>
      <c r="H101" s="417">
        <f t="shared" si="45"/>
        <v>0.0</v>
      </c>
    </row>
    <row r="102" spans="8:8">
      <c r="A102" s="206" t="str">
        <f t="shared" si="40"/>
        <v>Bengal Gram/Channa</v>
      </c>
      <c r="B102" s="206">
        <f>D25*$B$90*0</f>
        <v>0.0</v>
      </c>
      <c r="C102" s="417">
        <f t="shared" si="43"/>
        <v>0.0</v>
      </c>
      <c r="D102" s="417">
        <f t="shared" si="45"/>
        <v>0.0</v>
      </c>
      <c r="E102" s="417">
        <f t="shared" si="45"/>
        <v>0.0</v>
      </c>
      <c r="F102" s="417">
        <f t="shared" si="45"/>
        <v>0.0</v>
      </c>
      <c r="G102" s="417">
        <f t="shared" si="45"/>
        <v>0.0</v>
      </c>
      <c r="H102" s="417">
        <f t="shared" si="45"/>
        <v>0.0</v>
      </c>
    </row>
    <row r="103" spans="8:8">
      <c r="A103" s="206" t="str">
        <f t="shared" si="40"/>
        <v>Jawar</v>
      </c>
      <c r="B103" s="206">
        <f>D26*$B$90*0</f>
        <v>0.0</v>
      </c>
      <c r="C103" s="417">
        <f t="shared" si="43"/>
        <v>0.0</v>
      </c>
      <c r="D103" s="417">
        <f t="shared" si="45"/>
        <v>0.0</v>
      </c>
      <c r="E103" s="417">
        <f t="shared" si="45"/>
        <v>0.0</v>
      </c>
      <c r="F103" s="417">
        <f t="shared" si="45"/>
        <v>0.0</v>
      </c>
      <c r="G103" s="417">
        <f t="shared" si="45"/>
        <v>0.0</v>
      </c>
      <c r="H103" s="417">
        <f t="shared" si="45"/>
        <v>0.0</v>
      </c>
    </row>
    <row r="104" spans="8:8">
      <c r="A104" s="206" t="str">
        <f t="shared" si="40"/>
        <v>Maize</v>
      </c>
      <c r="B104" s="206">
        <f t="shared" si="46"/>
        <v>0.0</v>
      </c>
      <c r="C104" s="417">
        <f t="shared" si="43"/>
        <v>0.0</v>
      </c>
      <c r="D104" s="417">
        <f t="shared" si="47" ref="D104:H113">(C104/C$90)*D$90</f>
        <v>0.0</v>
      </c>
      <c r="E104" s="417">
        <f t="shared" si="47"/>
        <v>0.0</v>
      </c>
      <c r="F104" s="417">
        <f t="shared" si="47"/>
        <v>0.0</v>
      </c>
      <c r="G104" s="417">
        <f t="shared" si="47"/>
        <v>0.0</v>
      </c>
      <c r="H104" s="417">
        <f t="shared" si="47"/>
        <v>0.0</v>
      </c>
    </row>
    <row r="105" spans="8:8">
      <c r="A105" s="206" t="str">
        <f t="shared" si="40"/>
        <v>Safflower</v>
      </c>
      <c r="B105" s="206">
        <f t="shared" si="46"/>
        <v>0.0</v>
      </c>
      <c r="C105" s="417">
        <f t="shared" si="43"/>
        <v>0.0</v>
      </c>
      <c r="D105" s="417">
        <f t="shared" si="47"/>
        <v>0.0</v>
      </c>
      <c r="E105" s="417">
        <f t="shared" si="47"/>
        <v>0.0</v>
      </c>
      <c r="F105" s="417">
        <f t="shared" si="47"/>
        <v>0.0</v>
      </c>
      <c r="G105" s="417">
        <f t="shared" si="47"/>
        <v>0.0</v>
      </c>
      <c r="H105" s="417">
        <f t="shared" si="47"/>
        <v>0.0</v>
      </c>
    </row>
    <row r="106" spans="8:8">
      <c r="A106" s="206">
        <f t="shared" si="40"/>
        <v>0.0</v>
      </c>
      <c r="B106" s="206">
        <f t="shared" si="46"/>
        <v>0.0</v>
      </c>
      <c r="C106" s="417">
        <f t="shared" si="43"/>
        <v>0.0</v>
      </c>
      <c r="D106" s="417">
        <f t="shared" si="47"/>
        <v>0.0</v>
      </c>
      <c r="E106" s="417">
        <f t="shared" si="47"/>
        <v>0.0</v>
      </c>
      <c r="F106" s="417">
        <f t="shared" si="47"/>
        <v>0.0</v>
      </c>
      <c r="G106" s="417">
        <f t="shared" si="47"/>
        <v>0.0</v>
      </c>
      <c r="H106" s="417">
        <f t="shared" si="47"/>
        <v>0.0</v>
      </c>
    </row>
    <row r="107" spans="8:8">
      <c r="A107" s="206">
        <f t="shared" si="40"/>
        <v>0.0</v>
      </c>
      <c r="B107" s="206">
        <f t="shared" si="46"/>
        <v>0.0</v>
      </c>
      <c r="C107" s="417">
        <f t="shared" si="43"/>
        <v>0.0</v>
      </c>
      <c r="D107" s="417">
        <f t="shared" si="47"/>
        <v>0.0</v>
      </c>
      <c r="E107" s="417">
        <f t="shared" si="47"/>
        <v>0.0</v>
      </c>
      <c r="F107" s="417">
        <f t="shared" si="47"/>
        <v>0.0</v>
      </c>
      <c r="G107" s="417">
        <f t="shared" si="47"/>
        <v>0.0</v>
      </c>
      <c r="H107" s="417">
        <f t="shared" si="47"/>
        <v>0.0</v>
      </c>
    </row>
    <row r="108" spans="8:8">
      <c r="A108" s="206">
        <f t="shared" si="40"/>
        <v>0.0</v>
      </c>
      <c r="B108" s="206">
        <f t="shared" si="46"/>
        <v>0.0</v>
      </c>
      <c r="C108" s="417">
        <f t="shared" si="43"/>
        <v>0.0</v>
      </c>
      <c r="D108" s="417">
        <f t="shared" si="47"/>
        <v>0.0</v>
      </c>
      <c r="E108" s="417">
        <f t="shared" si="47"/>
        <v>0.0</v>
      </c>
      <c r="F108" s="417">
        <f t="shared" si="47"/>
        <v>0.0</v>
      </c>
      <c r="G108" s="417">
        <f t="shared" si="47"/>
        <v>0.0</v>
      </c>
      <c r="H108" s="417">
        <f t="shared" si="47"/>
        <v>0.0</v>
      </c>
    </row>
    <row r="109" spans="8:8">
      <c r="A109" s="206" t="str">
        <f t="shared" si="40"/>
        <v>Groundnut</v>
      </c>
      <c r="B109" s="206">
        <f>D33*$B$90</f>
        <v>0.0</v>
      </c>
      <c r="C109" s="417">
        <f t="shared" si="43"/>
        <v>0.0</v>
      </c>
      <c r="D109" s="417">
        <f t="shared" si="47"/>
        <v>0.0</v>
      </c>
      <c r="E109" s="417">
        <f t="shared" si="47"/>
        <v>0.0</v>
      </c>
      <c r="F109" s="417">
        <f t="shared" si="47"/>
        <v>0.0</v>
      </c>
      <c r="G109" s="417">
        <f t="shared" si="47"/>
        <v>0.0</v>
      </c>
      <c r="H109" s="417">
        <f t="shared" si="47"/>
        <v>0.0</v>
      </c>
    </row>
    <row r="110" spans="8:8">
      <c r="A110" s="206">
        <f t="shared" si="40"/>
        <v>0.0</v>
      </c>
      <c r="B110" s="206">
        <f>D34*$B$90</f>
        <v>0.0</v>
      </c>
      <c r="C110" s="417">
        <f t="shared" si="43"/>
        <v>0.0</v>
      </c>
      <c r="D110" s="417">
        <f t="shared" si="47"/>
        <v>0.0</v>
      </c>
      <c r="E110" s="417">
        <f t="shared" si="47"/>
        <v>0.0</v>
      </c>
      <c r="F110" s="417">
        <f t="shared" si="47"/>
        <v>0.0</v>
      </c>
      <c r="G110" s="417">
        <f t="shared" si="47"/>
        <v>0.0</v>
      </c>
      <c r="H110" s="417">
        <f t="shared" si="47"/>
        <v>0.0</v>
      </c>
    </row>
    <row r="111" spans="8:8">
      <c r="A111" s="206">
        <f t="shared" si="40"/>
        <v>0.0</v>
      </c>
      <c r="B111" s="206">
        <f>D34*$B$90</f>
        <v>0.0</v>
      </c>
      <c r="C111" s="417">
        <f t="shared" si="43"/>
        <v>0.0</v>
      </c>
      <c r="D111" s="417">
        <f t="shared" si="47"/>
        <v>0.0</v>
      </c>
      <c r="E111" s="417">
        <f t="shared" si="47"/>
        <v>0.0</v>
      </c>
      <c r="F111" s="417">
        <f t="shared" si="47"/>
        <v>0.0</v>
      </c>
      <c r="G111" s="417">
        <f t="shared" si="47"/>
        <v>0.0</v>
      </c>
      <c r="H111" s="417">
        <f t="shared" si="47"/>
        <v>0.0</v>
      </c>
    </row>
    <row r="112" spans="8:8">
      <c r="A112" s="206">
        <f t="shared" si="40"/>
        <v>0.0</v>
      </c>
      <c r="B112" s="206">
        <f>D36*$B$90</f>
        <v>0.0</v>
      </c>
      <c r="C112" s="417">
        <f t="shared" si="43"/>
        <v>0.0</v>
      </c>
      <c r="D112" s="417">
        <f t="shared" si="47"/>
        <v>0.0</v>
      </c>
      <c r="E112" s="417">
        <f t="shared" si="47"/>
        <v>0.0</v>
      </c>
      <c r="F112" s="417">
        <f t="shared" si="47"/>
        <v>0.0</v>
      </c>
      <c r="G112" s="417">
        <f t="shared" si="47"/>
        <v>0.0</v>
      </c>
      <c r="H112" s="417">
        <f t="shared" si="47"/>
        <v>0.0</v>
      </c>
    </row>
    <row r="113" spans="8:8">
      <c r="A113" s="206"/>
      <c r="B113" s="206">
        <f>D37*$B$90</f>
        <v>0.0</v>
      </c>
      <c r="C113" s="417">
        <f t="shared" si="43"/>
        <v>0.0</v>
      </c>
      <c r="D113" s="417">
        <f t="shared" si="47"/>
        <v>0.0</v>
      </c>
      <c r="E113" s="417">
        <f t="shared" si="47"/>
        <v>0.0</v>
      </c>
      <c r="F113" s="417">
        <f t="shared" si="47"/>
        <v>0.0</v>
      </c>
      <c r="G113" s="417">
        <f t="shared" si="47"/>
        <v>0.0</v>
      </c>
      <c r="H113" s="417">
        <f t="shared" si="47"/>
        <v>0.0</v>
      </c>
    </row>
    <row r="115" spans="8:8">
      <c r="C115" s="236"/>
      <c r="D115" s="308"/>
      <c r="E115" s="308"/>
      <c r="F115" s="308"/>
      <c r="G115" s="308"/>
      <c r="H115" s="308"/>
      <c r="I115" s="308"/>
    </row>
    <row r="116" spans="8:8">
      <c r="A116" t="s">
        <v>562</v>
      </c>
      <c r="C116" s="418"/>
      <c r="D116" s="418"/>
      <c r="E116" s="418"/>
      <c r="F116" s="418"/>
      <c r="G116" s="418"/>
      <c r="H116" s="418"/>
      <c r="I116" s="418"/>
    </row>
    <row r="117" spans="8:8">
      <c r="A117">
        <v>1.0</v>
      </c>
      <c r="B117" t="s">
        <v>617</v>
      </c>
    </row>
    <row r="118" spans="8:8">
      <c r="A118">
        <v>2.0</v>
      </c>
      <c r="B118" t="s">
        <v>618</v>
      </c>
    </row>
    <row r="119" spans="8:8">
      <c r="A119">
        <v>3.0</v>
      </c>
      <c r="B119" t="s">
        <v>565</v>
      </c>
    </row>
  </sheetData>
  <mergeCells count="12">
    <mergeCell ref="A1:H1"/>
    <mergeCell ref="A11:H11"/>
    <mergeCell ref="A37:H37"/>
    <mergeCell ref="A39:H39"/>
    <mergeCell ref="A64:H64"/>
    <mergeCell ref="A89:H89"/>
    <mergeCell ref="A3:B3"/>
    <mergeCell ref="A90:A91"/>
    <mergeCell ref="A14:A22"/>
    <mergeCell ref="A40:A41"/>
    <mergeCell ref="A65:A66"/>
    <mergeCell ref="A24:A31"/>
  </mergeCells>
  <pageMargins left="0.7" right="0.7" top="0.36" bottom="0.45" header="0.3" footer="0.3"/>
  <pageSetup paperSize="9" scale="76" orientation="landscape"/>
</worksheet>
</file>

<file path=xl/worksheets/sheet12.xml><?xml version="1.0" encoding="utf-8"?>
<worksheet xmlns:r="http://schemas.openxmlformats.org/officeDocument/2006/relationships" xmlns="http://schemas.openxmlformats.org/spreadsheetml/2006/main">
  <dimension ref="A1:AA132"/>
  <sheetViews>
    <sheetView workbookViewId="0" topLeftCell="A43" zoomScale="80">
      <selection activeCell="B5" sqref="B5"/>
    </sheetView>
  </sheetViews>
  <sheetFormatPr defaultRowHeight="15.0" defaultColWidth="10"/>
  <cols>
    <col min="1" max="1" customWidth="1" bestFit="1" width="44.140625" style="0"/>
    <col min="2" max="2" customWidth="1" bestFit="1" width="23.140625" style="0"/>
    <col min="3" max="3" customWidth="1" width="11.5703125" style="0"/>
    <col min="4" max="4" customWidth="1" width="18.855469" style="0"/>
    <col min="5" max="5" customWidth="1" width="15.140625" style="0"/>
    <col min="6" max="7" customWidth="1" width="15.855469" style="0"/>
    <col min="8" max="8" customWidth="1" width="21.140625" style="0"/>
    <col min="9" max="9" customWidth="1" bestFit="1" width="11.425781" style="0"/>
    <col min="10" max="10" customWidth="1" bestFit="1" width="9.140625" style="0"/>
  </cols>
  <sheetData>
    <row r="1" spans="8:8" ht="18.75">
      <c r="A1" s="30" t="s">
        <v>517</v>
      </c>
      <c r="B1" s="30"/>
      <c r="C1" s="30"/>
      <c r="D1" s="30"/>
      <c r="E1" s="30"/>
      <c r="F1" s="30"/>
      <c r="G1" s="30"/>
      <c r="H1" s="30"/>
    </row>
    <row r="2" spans="8:8">
      <c r="B2" s="236"/>
    </row>
    <row r="3" spans="8:8" ht="18.75">
      <c r="A3" s="366" t="s">
        <v>595</v>
      </c>
      <c r="B3" s="366"/>
    </row>
    <row r="4" spans="8:8">
      <c r="A4" s="367" t="s">
        <v>0</v>
      </c>
      <c r="B4" s="368" t="s">
        <v>398</v>
      </c>
      <c r="C4" s="369"/>
      <c r="D4" s="369"/>
      <c r="E4" s="369"/>
      <c r="F4" s="369"/>
      <c r="G4" s="369"/>
      <c r="H4" s="369"/>
    </row>
    <row r="5" spans="8:8">
      <c r="A5" s="206" t="s">
        <v>510</v>
      </c>
      <c r="B5" s="370"/>
      <c r="C5" s="371"/>
      <c r="D5" s="372"/>
      <c r="E5" s="372"/>
      <c r="F5" s="372"/>
      <c r="G5" s="372"/>
      <c r="H5" s="372"/>
    </row>
    <row r="6" spans="8:8">
      <c r="A6" s="206" t="s">
        <v>511</v>
      </c>
      <c r="B6" s="370"/>
      <c r="C6" s="371"/>
      <c r="D6" s="372"/>
      <c r="E6" s="372"/>
      <c r="F6" s="372"/>
      <c r="G6" s="372"/>
      <c r="H6" s="372"/>
    </row>
    <row r="7" spans="8:8">
      <c r="A7" s="373" t="s">
        <v>1</v>
      </c>
      <c r="B7" s="374">
        <f>B5+B6</f>
        <v>0.0</v>
      </c>
      <c r="C7" s="375"/>
      <c r="D7" s="376"/>
      <c r="E7" s="376"/>
      <c r="F7" s="376"/>
      <c r="G7" s="376"/>
      <c r="H7" s="376"/>
    </row>
    <row r="8" spans="8:8">
      <c r="A8" s="373" t="s">
        <v>512</v>
      </c>
      <c r="B8" s="377">
        <v>1.0</v>
      </c>
      <c r="C8" s="375"/>
      <c r="D8" s="375"/>
      <c r="E8" s="375"/>
      <c r="F8" s="375"/>
      <c r="G8" s="375"/>
      <c r="H8" s="375"/>
    </row>
    <row r="9" spans="8:8">
      <c r="A9" s="373" t="s">
        <v>513</v>
      </c>
      <c r="B9" s="374">
        <f>B7*B8</f>
        <v>0.0</v>
      </c>
      <c r="C9" s="376"/>
      <c r="D9" s="376"/>
      <c r="E9" s="376"/>
      <c r="F9" s="376"/>
      <c r="G9" s="376"/>
      <c r="H9" s="376"/>
    </row>
    <row r="10" spans="8:8">
      <c r="J10" t="s">
        <v>469</v>
      </c>
      <c r="O10" t="s">
        <v>465</v>
      </c>
      <c r="U10" t="s">
        <v>466</v>
      </c>
      <c r="Y10" t="s">
        <v>467</v>
      </c>
      <c r="Z10" t="s">
        <v>468</v>
      </c>
    </row>
    <row r="11" spans="8:8" ht="18.75">
      <c r="A11" s="30" t="s">
        <v>596</v>
      </c>
      <c r="B11" s="30"/>
      <c r="C11" s="30"/>
      <c r="D11" s="30"/>
      <c r="E11" s="30"/>
      <c r="F11" s="30"/>
      <c r="G11" s="30"/>
      <c r="H11" s="30"/>
      <c r="I11" s="378"/>
      <c r="J11" s="378"/>
      <c r="K11" s="378"/>
      <c r="L11" s="378"/>
      <c r="M11" s="378"/>
      <c r="N11" s="378"/>
      <c r="O11" s="378"/>
      <c r="P11" s="378"/>
    </row>
    <row r="12" spans="8:8">
      <c r="J12" s="379">
        <v>0.65</v>
      </c>
      <c r="K12" s="380">
        <f>J12+0.05</f>
        <v>0.7000000000000001</v>
      </c>
      <c r="L12" s="380">
        <f t="shared" si="0" ref="L12:N12">K12+0.05</f>
        <v>0.75</v>
      </c>
      <c r="M12" s="380">
        <f t="shared" si="0"/>
        <v>0.8</v>
      </c>
      <c r="N12" s="380">
        <f t="shared" si="0"/>
        <v>0.8500000000000001</v>
      </c>
      <c r="O12" s="379">
        <v>0.4</v>
      </c>
      <c r="P12" s="379">
        <f>O12+0.05</f>
        <v>0.45</v>
      </c>
      <c r="Q12" s="379">
        <f t="shared" si="1" ref="Q12:T12">P12+0.05</f>
        <v>0.5</v>
      </c>
      <c r="R12" s="379">
        <f t="shared" si="1"/>
        <v>0.55</v>
      </c>
      <c r="S12" s="379">
        <f t="shared" si="1"/>
        <v>0.6000000000000001</v>
      </c>
      <c r="T12" s="379">
        <f t="shared" si="1"/>
        <v>0.65</v>
      </c>
      <c r="U12" s="379">
        <v>0.1</v>
      </c>
      <c r="V12" s="308">
        <f>U12+0.05</f>
        <v>0.15000000000000002</v>
      </c>
      <c r="W12" s="308">
        <f t="shared" si="2" ref="W12:X12">V12+0.05</f>
        <v>0.2</v>
      </c>
      <c r="X12" s="308">
        <f t="shared" si="2"/>
        <v>0.25</v>
      </c>
    </row>
    <row r="13" spans="8:8" ht="45.0">
      <c r="A13" s="367" t="s">
        <v>402</v>
      </c>
      <c r="B13" s="367" t="s">
        <v>403</v>
      </c>
      <c r="C13" s="381" t="s">
        <v>462</v>
      </c>
      <c r="D13" s="381" t="s">
        <v>470</v>
      </c>
      <c r="E13" s="381" t="s">
        <v>471</v>
      </c>
      <c r="F13" s="381" t="s">
        <v>404</v>
      </c>
      <c r="G13" s="381" t="s">
        <v>665</v>
      </c>
      <c r="H13" s="381" t="s">
        <v>405</v>
      </c>
      <c r="O13" s="382" t="s">
        <v>2</v>
      </c>
      <c r="P13" s="382" t="s">
        <v>3</v>
      </c>
      <c r="Q13" s="382" t="s">
        <v>4</v>
      </c>
      <c r="R13" s="382" t="s">
        <v>5</v>
      </c>
      <c r="S13" s="382" t="s">
        <v>6</v>
      </c>
      <c r="T13" s="382" t="s">
        <v>2</v>
      </c>
      <c r="U13" s="382" t="s">
        <v>3</v>
      </c>
      <c r="V13" s="382" t="s">
        <v>4</v>
      </c>
      <c r="W13" s="382" t="s">
        <v>5</v>
      </c>
      <c r="X13" s="382" t="s">
        <v>6</v>
      </c>
    </row>
    <row r="14" spans="8:8">
      <c r="A14" s="383" t="s">
        <v>406</v>
      </c>
      <c r="B14" s="370" t="s">
        <v>500</v>
      </c>
      <c r="C14" s="384">
        <v>0.0</v>
      </c>
      <c r="D14" s="206">
        <f t="shared" si="3" ref="D14:D40">$B$9*C14</f>
        <v>0.0</v>
      </c>
      <c r="E14" s="385">
        <v>15.0</v>
      </c>
      <c r="F14" s="206">
        <f>D14*E14</f>
        <v>0.0</v>
      </c>
      <c r="G14" s="386">
        <v>0.1</v>
      </c>
      <c r="H14" s="206">
        <f>(F14-F14*G14)</f>
        <v>0.0</v>
      </c>
      <c r="J14">
        <f>$D$14*J12</f>
        <v>0.0</v>
      </c>
      <c r="K14">
        <f>$D$14*K12</f>
        <v>0.0</v>
      </c>
      <c r="L14">
        <f>$D$14*L12</f>
        <v>0.0</v>
      </c>
      <c r="M14">
        <f>$D$14*M12</f>
        <v>0.0</v>
      </c>
      <c r="N14">
        <f>$D$14*N12</f>
        <v>0.0</v>
      </c>
    </row>
    <row r="15" spans="8:8">
      <c r="A15" s="387"/>
      <c r="B15" s="370" t="s">
        <v>501</v>
      </c>
      <c r="C15" s="384">
        <v>0.0</v>
      </c>
      <c r="D15" s="206">
        <f t="shared" si="3"/>
        <v>0.0</v>
      </c>
      <c r="E15" s="385">
        <v>7.0</v>
      </c>
      <c r="F15" s="206">
        <f t="shared" si="4" ref="F15:F40">D15*E15</f>
        <v>0.0</v>
      </c>
      <c r="G15" s="386">
        <v>0.05</v>
      </c>
      <c r="H15" s="206">
        <f>(F15-F15*G15)</f>
        <v>0.0</v>
      </c>
    </row>
    <row r="16" spans="8:8">
      <c r="A16" s="387"/>
      <c r="B16" s="370" t="s">
        <v>502</v>
      </c>
      <c r="C16" s="384">
        <v>0.0</v>
      </c>
      <c r="D16" s="206">
        <f t="shared" si="3"/>
        <v>0.0</v>
      </c>
      <c r="E16" s="385">
        <v>4.0</v>
      </c>
      <c r="F16" s="206">
        <f t="shared" si="4"/>
        <v>0.0</v>
      </c>
      <c r="G16" s="386">
        <v>0.0</v>
      </c>
      <c r="H16" s="206">
        <f t="shared" si="5" ref="H16:H40">(F16-F16*G16)</f>
        <v>0.0</v>
      </c>
    </row>
    <row r="17" spans="8:8">
      <c r="A17" s="387"/>
      <c r="B17" s="370" t="s">
        <v>503</v>
      </c>
      <c r="C17" s="384">
        <v>0.0</v>
      </c>
      <c r="D17" s="206">
        <f t="shared" si="3"/>
        <v>0.0</v>
      </c>
      <c r="E17" s="385">
        <v>7.0</v>
      </c>
      <c r="F17" s="206">
        <f t="shared" si="4"/>
        <v>0.0</v>
      </c>
      <c r="G17" s="386">
        <v>0.02</v>
      </c>
      <c r="H17" s="206">
        <f t="shared" si="5"/>
        <v>0.0</v>
      </c>
    </row>
    <row r="18" spans="8:8">
      <c r="A18" s="387"/>
      <c r="B18" s="370" t="s">
        <v>505</v>
      </c>
      <c r="C18" s="384">
        <v>0.0</v>
      </c>
      <c r="D18" s="206">
        <f t="shared" si="3"/>
        <v>0.0</v>
      </c>
      <c r="E18" s="385">
        <v>20.0</v>
      </c>
      <c r="F18" s="206">
        <f t="shared" si="4"/>
        <v>0.0</v>
      </c>
      <c r="G18" s="386">
        <v>0.0</v>
      </c>
      <c r="H18" s="206">
        <f t="shared" si="5"/>
        <v>0.0</v>
      </c>
    </row>
    <row r="19" spans="8:8">
      <c r="A19" s="387"/>
      <c r="B19" s="370"/>
      <c r="C19" s="384">
        <v>0.0</v>
      </c>
      <c r="D19" s="206">
        <f t="shared" si="3"/>
        <v>0.0</v>
      </c>
      <c r="E19" s="385">
        <v>7.0</v>
      </c>
      <c r="F19" s="206">
        <f t="shared" si="4"/>
        <v>0.0</v>
      </c>
      <c r="G19" s="386">
        <v>0.1</v>
      </c>
      <c r="H19" s="206">
        <f t="shared" si="5"/>
        <v>0.0</v>
      </c>
    </row>
    <row r="20" spans="8:8">
      <c r="A20" s="387"/>
      <c r="B20" s="370"/>
      <c r="C20" s="384">
        <v>0.0</v>
      </c>
      <c r="D20" s="206">
        <f t="shared" si="3"/>
        <v>0.0</v>
      </c>
      <c r="E20" s="385">
        <v>6.0</v>
      </c>
      <c r="F20" s="206">
        <f t="shared" si="4"/>
        <v>0.0</v>
      </c>
      <c r="G20" s="386">
        <v>0.02</v>
      </c>
      <c r="H20" s="206">
        <f t="shared" si="5"/>
        <v>0.0</v>
      </c>
    </row>
    <row r="21" spans="8:8">
      <c r="A21" s="387"/>
      <c r="B21" s="370"/>
      <c r="C21" s="384">
        <v>0.0</v>
      </c>
      <c r="D21" s="206">
        <f t="shared" si="3"/>
        <v>0.0</v>
      </c>
      <c r="E21" s="385"/>
      <c r="F21" s="206">
        <f t="shared" si="4"/>
        <v>0.0</v>
      </c>
      <c r="G21" s="386">
        <v>0.0</v>
      </c>
      <c r="H21" s="206">
        <f t="shared" si="5"/>
        <v>0.0</v>
      </c>
    </row>
    <row r="22" spans="8:8">
      <c r="A22" s="388"/>
      <c r="B22" s="370"/>
      <c r="C22" s="384">
        <v>0.0</v>
      </c>
      <c r="D22" s="206">
        <f t="shared" si="3"/>
        <v>0.0</v>
      </c>
      <c r="E22" s="385"/>
      <c r="F22" s="206">
        <f t="shared" si="4"/>
        <v>0.0</v>
      </c>
      <c r="G22" s="386">
        <v>0.0</v>
      </c>
      <c r="H22" s="206">
        <f t="shared" si="5"/>
        <v>0.0</v>
      </c>
    </row>
    <row r="23" spans="8:8">
      <c r="A23" s="419" t="s">
        <v>518</v>
      </c>
      <c r="B23" s="390"/>
      <c r="C23" s="420">
        <f>B9*B23</f>
        <v>0.0</v>
      </c>
      <c r="D23" s="206"/>
      <c r="E23" s="385"/>
      <c r="F23" s="206"/>
      <c r="G23" s="386"/>
      <c r="H23" s="206"/>
    </row>
    <row r="24" spans="8:8">
      <c r="A24" s="383" t="s">
        <v>408</v>
      </c>
      <c r="B24" s="370" t="s">
        <v>500</v>
      </c>
      <c r="C24" s="384">
        <v>0.0</v>
      </c>
      <c r="D24" s="206">
        <f>C$23*C24</f>
        <v>0.0</v>
      </c>
      <c r="E24" s="385">
        <v>10.0</v>
      </c>
      <c r="F24" s="206">
        <f t="shared" si="4"/>
        <v>0.0</v>
      </c>
      <c r="G24" s="386">
        <v>0.1</v>
      </c>
      <c r="H24" s="206">
        <f t="shared" si="5"/>
        <v>0.0</v>
      </c>
    </row>
    <row r="25" spans="8:8">
      <c r="A25" s="387"/>
      <c r="B25" s="370" t="s">
        <v>501</v>
      </c>
      <c r="C25" s="384">
        <v>0.0</v>
      </c>
      <c r="D25" s="206">
        <f>C$23*C25</f>
        <v>0.0</v>
      </c>
      <c r="E25" s="385">
        <v>10.0</v>
      </c>
      <c r="F25" s="206">
        <f t="shared" si="4"/>
        <v>0.0</v>
      </c>
      <c r="G25" s="386">
        <v>0.1</v>
      </c>
      <c r="H25" s="206">
        <f t="shared" si="5"/>
        <v>0.0</v>
      </c>
    </row>
    <row r="26" spans="8:8">
      <c r="A26" s="387"/>
      <c r="B26" s="370" t="s">
        <v>502</v>
      </c>
      <c r="C26" s="384">
        <v>0.0</v>
      </c>
      <c r="D26" s="206">
        <f>C$23*C26</f>
        <v>0.0</v>
      </c>
      <c r="E26" s="385">
        <v>10.0</v>
      </c>
      <c r="F26" s="206">
        <f t="shared" si="4"/>
        <v>0.0</v>
      </c>
      <c r="G26" s="386">
        <v>0.05</v>
      </c>
      <c r="H26" s="206">
        <f t="shared" si="5"/>
        <v>0.0</v>
      </c>
    </row>
    <row r="27" spans="8:8">
      <c r="A27" s="387"/>
      <c r="B27" s="370" t="s">
        <v>503</v>
      </c>
      <c r="C27" s="384">
        <v>0.0</v>
      </c>
      <c r="D27" s="206">
        <f t="shared" si="6" ref="D27:D31">C$23*C27</f>
        <v>0.0</v>
      </c>
      <c r="E27" s="385">
        <v>20.0</v>
      </c>
      <c r="F27" s="206">
        <f t="shared" si="4"/>
        <v>0.0</v>
      </c>
      <c r="G27" s="386">
        <v>0.0</v>
      </c>
      <c r="H27" s="206">
        <f t="shared" si="5"/>
        <v>0.0</v>
      </c>
    </row>
    <row r="28" spans="8:8">
      <c r="A28" s="387"/>
      <c r="B28" s="370" t="s">
        <v>504</v>
      </c>
      <c r="C28" s="384">
        <v>0.0</v>
      </c>
      <c r="D28" s="206">
        <f t="shared" si="6"/>
        <v>0.0</v>
      </c>
      <c r="E28" s="385"/>
      <c r="F28" s="206">
        <f t="shared" si="4"/>
        <v>0.0</v>
      </c>
      <c r="G28" s="386">
        <v>0.0</v>
      </c>
      <c r="H28" s="206">
        <f t="shared" si="5"/>
        <v>0.0</v>
      </c>
    </row>
    <row r="29" spans="8:8">
      <c r="A29" s="387"/>
      <c r="B29" s="370"/>
      <c r="C29" s="384">
        <v>0.0</v>
      </c>
      <c r="D29" s="206">
        <f t="shared" si="6"/>
        <v>0.0</v>
      </c>
      <c r="E29" s="385"/>
      <c r="F29" s="206">
        <f t="shared" si="4"/>
        <v>0.0</v>
      </c>
      <c r="G29" s="386">
        <v>0.0</v>
      </c>
      <c r="H29" s="206">
        <f t="shared" si="5"/>
        <v>0.0</v>
      </c>
    </row>
    <row r="30" spans="8:8">
      <c r="A30" s="387"/>
      <c r="B30" s="370"/>
      <c r="C30" s="384">
        <v>0.0</v>
      </c>
      <c r="D30" s="206">
        <f t="shared" si="6"/>
        <v>0.0</v>
      </c>
      <c r="E30" s="385"/>
      <c r="F30" s="206">
        <f t="shared" si="4"/>
        <v>0.0</v>
      </c>
      <c r="G30" s="386">
        <v>0.0</v>
      </c>
      <c r="H30" s="206">
        <f t="shared" si="5"/>
        <v>0.0</v>
      </c>
    </row>
    <row r="31" spans="8:8">
      <c r="A31" s="388"/>
      <c r="B31" s="370"/>
      <c r="C31" s="384">
        <v>0.0</v>
      </c>
      <c r="D31" s="206">
        <f t="shared" si="6"/>
        <v>0.0</v>
      </c>
      <c r="E31" s="385"/>
      <c r="F31" s="206">
        <f t="shared" si="4"/>
        <v>0.0</v>
      </c>
      <c r="G31" s="386">
        <v>0.0</v>
      </c>
      <c r="H31" s="206">
        <f t="shared" si="5"/>
        <v>0.0</v>
      </c>
    </row>
    <row r="32" spans="8:8">
      <c r="A32" s="419" t="s">
        <v>519</v>
      </c>
      <c r="B32" s="390"/>
      <c r="C32" s="370">
        <f>B9*B32</f>
        <v>0.0</v>
      </c>
      <c r="D32" s="206"/>
      <c r="E32" s="385"/>
      <c r="F32" s="206"/>
      <c r="G32" s="386"/>
      <c r="H32" s="206"/>
    </row>
    <row r="33" spans="8:8">
      <c r="A33" s="393" t="s">
        <v>476</v>
      </c>
      <c r="B33" s="370"/>
      <c r="C33" s="384">
        <v>0.0</v>
      </c>
      <c r="D33" s="206">
        <f>C$32*C33</f>
        <v>0.0</v>
      </c>
      <c r="E33" s="385"/>
      <c r="F33" s="206">
        <f t="shared" si="4"/>
        <v>0.0</v>
      </c>
      <c r="G33" s="386">
        <v>0.0</v>
      </c>
      <c r="H33" s="206">
        <f t="shared" si="5"/>
        <v>0.0</v>
      </c>
    </row>
    <row r="34" spans="8:8">
      <c r="A34" s="394"/>
      <c r="B34" s="370"/>
      <c r="C34" s="384">
        <v>0.0</v>
      </c>
      <c r="D34" s="206">
        <f>C$32*C34</f>
        <v>0.0</v>
      </c>
      <c r="E34" s="385"/>
      <c r="F34" s="206">
        <f t="shared" si="4"/>
        <v>0.0</v>
      </c>
      <c r="G34" s="386">
        <v>0.0</v>
      </c>
      <c r="H34" s="206">
        <f t="shared" si="5"/>
        <v>0.0</v>
      </c>
    </row>
    <row r="35" spans="8:8">
      <c r="A35" s="394"/>
      <c r="B35" s="370"/>
      <c r="C35" s="384">
        <v>0.0</v>
      </c>
      <c r="D35" s="206">
        <f>C$32*C35</f>
        <v>0.0</v>
      </c>
      <c r="E35" s="385"/>
      <c r="F35" s="206">
        <f t="shared" si="4"/>
        <v>0.0</v>
      </c>
      <c r="G35" s="386">
        <v>0.0</v>
      </c>
      <c r="H35" s="206">
        <f t="shared" si="5"/>
        <v>0.0</v>
      </c>
    </row>
    <row r="36" spans="8:8">
      <c r="A36" s="395"/>
      <c r="B36" s="370"/>
      <c r="C36" s="384">
        <v>0.0</v>
      </c>
      <c r="D36" s="206">
        <f>C$32*C36</f>
        <v>0.0</v>
      </c>
      <c r="E36" s="385"/>
      <c r="F36" s="206">
        <f t="shared" si="4"/>
        <v>0.0</v>
      </c>
      <c r="G36" s="386">
        <v>0.0</v>
      </c>
      <c r="H36" s="206">
        <f t="shared" si="5"/>
        <v>0.0</v>
      </c>
    </row>
    <row r="37" spans="8:8">
      <c r="A37" s="421" t="s">
        <v>520</v>
      </c>
      <c r="B37" s="370" t="s">
        <v>506</v>
      </c>
      <c r="C37" s="384">
        <v>0.0</v>
      </c>
      <c r="D37" s="206">
        <f t="shared" si="3"/>
        <v>0.0</v>
      </c>
      <c r="E37" s="385">
        <v>6.0</v>
      </c>
      <c r="F37" s="206">
        <f t="shared" si="4"/>
        <v>0.0</v>
      </c>
      <c r="G37" s="386">
        <v>0.05</v>
      </c>
      <c r="H37" s="206">
        <f t="shared" si="5"/>
        <v>0.0</v>
      </c>
    </row>
    <row r="38" spans="8:8">
      <c r="A38" s="421"/>
      <c r="B38" s="370" t="s">
        <v>507</v>
      </c>
      <c r="C38" s="384">
        <v>0.0</v>
      </c>
      <c r="D38" s="206">
        <f t="shared" si="3"/>
        <v>0.0</v>
      </c>
      <c r="E38" s="385"/>
      <c r="F38" s="206">
        <f t="shared" si="4"/>
        <v>0.0</v>
      </c>
      <c r="G38" s="386">
        <v>0.0</v>
      </c>
      <c r="H38" s="206">
        <f t="shared" si="5"/>
        <v>0.0</v>
      </c>
    </row>
    <row r="39" spans="8:8">
      <c r="A39" s="421"/>
      <c r="B39" s="370" t="s">
        <v>508</v>
      </c>
      <c r="C39" s="384">
        <v>0.0</v>
      </c>
      <c r="D39" s="206">
        <f t="shared" si="3"/>
        <v>0.0</v>
      </c>
      <c r="E39" s="385"/>
      <c r="F39" s="206">
        <f t="shared" si="4"/>
        <v>0.0</v>
      </c>
      <c r="G39" s="386">
        <v>0.0</v>
      </c>
      <c r="H39" s="206">
        <f t="shared" si="5"/>
        <v>0.0</v>
      </c>
    </row>
    <row r="40" spans="8:8">
      <c r="A40" s="421"/>
      <c r="B40" s="370" t="s">
        <v>509</v>
      </c>
      <c r="C40" s="384">
        <v>0.0</v>
      </c>
      <c r="D40" s="206">
        <f t="shared" si="3"/>
        <v>0.0</v>
      </c>
      <c r="E40" s="385"/>
      <c r="F40" s="206">
        <f t="shared" si="4"/>
        <v>0.0</v>
      </c>
      <c r="G40" s="386">
        <v>0.0</v>
      </c>
      <c r="H40" s="206">
        <f t="shared" si="5"/>
        <v>0.0</v>
      </c>
    </row>
    <row r="41" spans="8:8">
      <c r="A41" s="396" t="s">
        <v>412</v>
      </c>
      <c r="B41" s="396"/>
      <c r="C41" s="396"/>
      <c r="D41" s="396"/>
      <c r="E41" s="396"/>
      <c r="F41" s="396"/>
      <c r="G41" s="396"/>
      <c r="H41" s="396"/>
    </row>
    <row r="43" spans="8:8" ht="18.75">
      <c r="A43" s="397" t="s">
        <v>597</v>
      </c>
      <c r="B43" s="398"/>
      <c r="C43" s="398"/>
      <c r="D43" s="398"/>
      <c r="E43" s="398"/>
      <c r="F43" s="398"/>
      <c r="G43" s="398"/>
      <c r="H43" s="399"/>
    </row>
    <row r="44" spans="8:8">
      <c r="A44" s="400" t="s">
        <v>0</v>
      </c>
      <c r="B44" s="401">
        <v>0.35</v>
      </c>
      <c r="C44" s="401">
        <f>B44+0.05</f>
        <v>0.39999999999999997</v>
      </c>
      <c r="D44" s="401">
        <f t="shared" si="7" ref="D44:G44">C44+0.05</f>
        <v>0.45</v>
      </c>
      <c r="E44" s="401">
        <f t="shared" si="7"/>
        <v>0.5</v>
      </c>
      <c r="F44" s="401">
        <f t="shared" si="7"/>
        <v>0.55</v>
      </c>
      <c r="G44" s="401">
        <f t="shared" si="7"/>
        <v>0.6000000000000001</v>
      </c>
      <c r="H44" s="401">
        <f>G44+0.05</f>
        <v>0.65</v>
      </c>
    </row>
    <row r="45" spans="8:8">
      <c r="A45" s="402"/>
      <c r="B45" s="368" t="s">
        <v>2</v>
      </c>
      <c r="C45" s="368" t="s">
        <v>3</v>
      </c>
      <c r="D45" s="368" t="s">
        <v>4</v>
      </c>
      <c r="E45" s="368" t="s">
        <v>5</v>
      </c>
      <c r="F45" s="368" t="s">
        <v>6</v>
      </c>
      <c r="G45" s="368" t="s">
        <v>169</v>
      </c>
      <c r="H45" s="368" t="s">
        <v>168</v>
      </c>
    </row>
    <row r="46" spans="8:8">
      <c r="A46" s="206" t="str">
        <f t="shared" si="8" ref="A46:A54">B14</f>
        <v>Onion</v>
      </c>
      <c r="B46" s="206">
        <f t="shared" si="9" ref="B46:B54">H14*$B$44</f>
        <v>0.0</v>
      </c>
      <c r="C46" s="206">
        <f t="shared" si="10" ref="C46:H61">(B46/B$44)*C$44</f>
        <v>0.0</v>
      </c>
      <c r="D46" s="206">
        <f t="shared" si="10"/>
        <v>0.0</v>
      </c>
      <c r="E46" s="206">
        <f t="shared" si="10"/>
        <v>0.0</v>
      </c>
      <c r="F46" s="206">
        <f t="shared" si="10"/>
        <v>0.0</v>
      </c>
      <c r="G46" s="206">
        <f t="shared" si="10"/>
        <v>0.0</v>
      </c>
      <c r="H46" s="206">
        <f t="shared" si="10"/>
        <v>0.0</v>
      </c>
    </row>
    <row r="47" spans="8:8">
      <c r="A47" s="206" t="str">
        <f t="shared" si="8"/>
        <v>Tomato</v>
      </c>
      <c r="B47" s="206">
        <f t="shared" si="9"/>
        <v>0.0</v>
      </c>
      <c r="C47" s="206">
        <f t="shared" si="10"/>
        <v>0.0</v>
      </c>
      <c r="D47" s="206">
        <f t="shared" si="10"/>
        <v>0.0</v>
      </c>
      <c r="E47" s="206">
        <f t="shared" si="10"/>
        <v>0.0</v>
      </c>
      <c r="F47" s="206">
        <f t="shared" si="10"/>
        <v>0.0</v>
      </c>
      <c r="G47" s="206">
        <f t="shared" si="10"/>
        <v>0.0</v>
      </c>
      <c r="H47" s="206">
        <f t="shared" si="10"/>
        <v>0.0</v>
      </c>
    </row>
    <row r="48" spans="8:8">
      <c r="A48" s="206" t="str">
        <f t="shared" si="8"/>
        <v>Okra</v>
      </c>
      <c r="B48" s="206">
        <f t="shared" si="9"/>
        <v>0.0</v>
      </c>
      <c r="C48" s="206">
        <f t="shared" si="10"/>
        <v>0.0</v>
      </c>
      <c r="D48" s="206">
        <f t="shared" si="10"/>
        <v>0.0</v>
      </c>
      <c r="E48" s="206">
        <f t="shared" si="10"/>
        <v>0.0</v>
      </c>
      <c r="F48" s="206">
        <f t="shared" si="10"/>
        <v>0.0</v>
      </c>
      <c r="G48" s="206">
        <f t="shared" si="10"/>
        <v>0.0</v>
      </c>
      <c r="H48" s="206">
        <f t="shared" si="10"/>
        <v>0.0</v>
      </c>
    </row>
    <row r="49" spans="8:8">
      <c r="A49" s="206" t="str">
        <f t="shared" si="8"/>
        <v>Chilli</v>
      </c>
      <c r="B49" s="206">
        <f t="shared" si="9"/>
        <v>0.0</v>
      </c>
      <c r="C49" s="206">
        <f t="shared" si="10"/>
        <v>0.0</v>
      </c>
      <c r="D49" s="206">
        <f t="shared" si="10"/>
        <v>0.0</v>
      </c>
      <c r="E49" s="206">
        <f t="shared" si="10"/>
        <v>0.0</v>
      </c>
      <c r="F49" s="206">
        <f t="shared" si="10"/>
        <v>0.0</v>
      </c>
      <c r="G49" s="206">
        <f t="shared" si="10"/>
        <v>0.0</v>
      </c>
      <c r="H49" s="206">
        <f t="shared" si="10"/>
        <v>0.0</v>
      </c>
    </row>
    <row r="50" spans="8:8">
      <c r="A50" s="206" t="str">
        <f t="shared" si="8"/>
        <v>Potato</v>
      </c>
      <c r="B50" s="206">
        <f t="shared" si="9"/>
        <v>0.0</v>
      </c>
      <c r="C50" s="206">
        <f t="shared" si="10"/>
        <v>0.0</v>
      </c>
      <c r="D50" s="206">
        <f t="shared" si="10"/>
        <v>0.0</v>
      </c>
      <c r="E50" s="206">
        <f t="shared" si="10"/>
        <v>0.0</v>
      </c>
      <c r="F50" s="206">
        <f t="shared" si="10"/>
        <v>0.0</v>
      </c>
      <c r="G50" s="206">
        <f t="shared" si="10"/>
        <v>0.0</v>
      </c>
      <c r="H50" s="206">
        <f t="shared" si="10"/>
        <v>0.0</v>
      </c>
    </row>
    <row r="51" spans="8:8">
      <c r="A51" s="206">
        <f t="shared" si="8"/>
        <v>0.0</v>
      </c>
      <c r="B51" s="206">
        <f t="shared" si="9"/>
        <v>0.0</v>
      </c>
      <c r="C51" s="206">
        <f t="shared" si="10"/>
        <v>0.0</v>
      </c>
      <c r="D51" s="206">
        <f t="shared" si="10"/>
        <v>0.0</v>
      </c>
      <c r="E51" s="206">
        <f t="shared" si="10"/>
        <v>0.0</v>
      </c>
      <c r="F51" s="206">
        <f t="shared" si="10"/>
        <v>0.0</v>
      </c>
      <c r="G51" s="206">
        <f t="shared" si="10"/>
        <v>0.0</v>
      </c>
      <c r="H51" s="206">
        <f t="shared" si="10"/>
        <v>0.0</v>
      </c>
    </row>
    <row r="52" spans="8:8">
      <c r="A52" s="206">
        <f t="shared" si="8"/>
        <v>0.0</v>
      </c>
      <c r="B52" s="206">
        <f t="shared" si="9"/>
        <v>0.0</v>
      </c>
      <c r="C52" s="206">
        <f t="shared" si="10"/>
        <v>0.0</v>
      </c>
      <c r="D52" s="206">
        <f t="shared" si="10"/>
        <v>0.0</v>
      </c>
      <c r="E52" s="206">
        <f t="shared" si="10"/>
        <v>0.0</v>
      </c>
      <c r="F52" s="206">
        <f t="shared" si="10"/>
        <v>0.0</v>
      </c>
      <c r="G52" s="206">
        <f t="shared" si="10"/>
        <v>0.0</v>
      </c>
      <c r="H52" s="206">
        <f t="shared" si="10"/>
        <v>0.0</v>
      </c>
    </row>
    <row r="53" spans="8:8">
      <c r="A53" s="206">
        <f t="shared" si="8"/>
        <v>0.0</v>
      </c>
      <c r="B53" s="206">
        <f t="shared" si="9"/>
        <v>0.0</v>
      </c>
      <c r="C53" s="206">
        <f t="shared" si="10"/>
        <v>0.0</v>
      </c>
      <c r="D53" s="206">
        <f t="shared" si="10"/>
        <v>0.0</v>
      </c>
      <c r="E53" s="206">
        <f t="shared" si="10"/>
        <v>0.0</v>
      </c>
      <c r="F53" s="206">
        <f t="shared" si="10"/>
        <v>0.0</v>
      </c>
      <c r="G53" s="206">
        <f t="shared" si="10"/>
        <v>0.0</v>
      </c>
      <c r="H53" s="206">
        <f t="shared" si="10"/>
        <v>0.0</v>
      </c>
    </row>
    <row r="54" spans="8:8">
      <c r="A54" s="206">
        <f t="shared" si="8"/>
        <v>0.0</v>
      </c>
      <c r="B54" s="206">
        <f t="shared" si="9"/>
        <v>0.0</v>
      </c>
      <c r="C54" s="206">
        <f t="shared" si="10"/>
        <v>0.0</v>
      </c>
      <c r="D54" s="206">
        <f t="shared" si="10"/>
        <v>0.0</v>
      </c>
      <c r="E54" s="206">
        <f t="shared" si="10"/>
        <v>0.0</v>
      </c>
      <c r="F54" s="206">
        <f t="shared" si="10"/>
        <v>0.0</v>
      </c>
      <c r="G54" s="206">
        <f t="shared" si="10"/>
        <v>0.0</v>
      </c>
      <c r="H54" s="206">
        <f t="shared" si="10"/>
        <v>0.0</v>
      </c>
    </row>
    <row r="55" spans="8:8">
      <c r="A55" s="206" t="str">
        <f t="shared" si="11" ref="A55:A62">B24</f>
        <v>Onion</v>
      </c>
      <c r="B55" s="206">
        <f t="shared" si="12" ref="B55:B61">H24*$B$44</f>
        <v>0.0</v>
      </c>
      <c r="C55" s="206">
        <f t="shared" si="10"/>
        <v>0.0</v>
      </c>
      <c r="D55" s="206">
        <f t="shared" si="10"/>
        <v>0.0</v>
      </c>
      <c r="E55" s="206">
        <f t="shared" si="10"/>
        <v>0.0</v>
      </c>
      <c r="F55" s="206">
        <f t="shared" si="10"/>
        <v>0.0</v>
      </c>
      <c r="G55" s="206">
        <f t="shared" si="10"/>
        <v>0.0</v>
      </c>
      <c r="H55" s="206">
        <f t="shared" si="10"/>
        <v>0.0</v>
      </c>
    </row>
    <row r="56" spans="8:8">
      <c r="A56" s="206" t="str">
        <f t="shared" si="11"/>
        <v>Tomato</v>
      </c>
      <c r="B56" s="206">
        <f t="shared" si="12"/>
        <v>0.0</v>
      </c>
      <c r="C56" s="206">
        <f t="shared" si="10"/>
        <v>0.0</v>
      </c>
      <c r="D56" s="206">
        <f t="shared" si="10"/>
        <v>0.0</v>
      </c>
      <c r="E56" s="206">
        <f t="shared" si="10"/>
        <v>0.0</v>
      </c>
      <c r="F56" s="206">
        <f t="shared" si="10"/>
        <v>0.0</v>
      </c>
      <c r="G56" s="206">
        <f t="shared" si="10"/>
        <v>0.0</v>
      </c>
      <c r="H56" s="206">
        <f t="shared" si="10"/>
        <v>0.0</v>
      </c>
    </row>
    <row r="57" spans="8:8">
      <c r="A57" s="206" t="str">
        <f t="shared" si="11"/>
        <v>Okra</v>
      </c>
      <c r="B57" s="206">
        <f t="shared" si="12"/>
        <v>0.0</v>
      </c>
      <c r="C57" s="206">
        <f t="shared" si="10"/>
        <v>0.0</v>
      </c>
      <c r="D57" s="206">
        <f t="shared" si="10"/>
        <v>0.0</v>
      </c>
      <c r="E57" s="206">
        <f t="shared" si="10"/>
        <v>0.0</v>
      </c>
      <c r="F57" s="206">
        <f t="shared" si="10"/>
        <v>0.0</v>
      </c>
      <c r="G57" s="206">
        <f t="shared" si="10"/>
        <v>0.0</v>
      </c>
      <c r="H57" s="206">
        <f t="shared" si="10"/>
        <v>0.0</v>
      </c>
    </row>
    <row r="58" spans="8:8">
      <c r="A58" s="206" t="str">
        <f t="shared" si="11"/>
        <v>Chilli</v>
      </c>
      <c r="B58" s="206">
        <f t="shared" si="12"/>
        <v>0.0</v>
      </c>
      <c r="C58" s="206">
        <f t="shared" si="10"/>
        <v>0.0</v>
      </c>
      <c r="D58" s="206">
        <f t="shared" si="10"/>
        <v>0.0</v>
      </c>
      <c r="E58" s="206">
        <f t="shared" si="10"/>
        <v>0.0</v>
      </c>
      <c r="F58" s="206">
        <f t="shared" si="10"/>
        <v>0.0</v>
      </c>
      <c r="G58" s="206">
        <f t="shared" si="10"/>
        <v>0.0</v>
      </c>
      <c r="H58" s="206">
        <f t="shared" si="10"/>
        <v>0.0</v>
      </c>
    </row>
    <row r="59" spans="8:8">
      <c r="A59" s="206" t="str">
        <f t="shared" si="11"/>
        <v>Brinjal</v>
      </c>
      <c r="B59" s="206">
        <f t="shared" si="12"/>
        <v>0.0</v>
      </c>
      <c r="C59" s="206">
        <f t="shared" si="10"/>
        <v>0.0</v>
      </c>
      <c r="D59" s="206">
        <f t="shared" si="10"/>
        <v>0.0</v>
      </c>
      <c r="E59" s="206">
        <f t="shared" si="10"/>
        <v>0.0</v>
      </c>
      <c r="F59" s="206">
        <f t="shared" si="10"/>
        <v>0.0</v>
      </c>
      <c r="G59" s="206">
        <f t="shared" si="10"/>
        <v>0.0</v>
      </c>
      <c r="H59" s="206">
        <f t="shared" si="10"/>
        <v>0.0</v>
      </c>
    </row>
    <row r="60" spans="8:8">
      <c r="A60" s="206">
        <f t="shared" si="11"/>
        <v>0.0</v>
      </c>
      <c r="B60" s="206">
        <f t="shared" si="12"/>
        <v>0.0</v>
      </c>
      <c r="C60" s="206">
        <f t="shared" si="10"/>
        <v>0.0</v>
      </c>
      <c r="D60" s="206">
        <f t="shared" si="10"/>
        <v>0.0</v>
      </c>
      <c r="E60" s="206">
        <f t="shared" si="10"/>
        <v>0.0</v>
      </c>
      <c r="F60" s="206">
        <f t="shared" si="10"/>
        <v>0.0</v>
      </c>
      <c r="G60" s="206">
        <f t="shared" si="10"/>
        <v>0.0</v>
      </c>
      <c r="H60" s="206">
        <f t="shared" si="10"/>
        <v>0.0</v>
      </c>
    </row>
    <row r="61" spans="8:8">
      <c r="A61" s="206">
        <f t="shared" si="11"/>
        <v>0.0</v>
      </c>
      <c r="B61" s="206">
        <f t="shared" si="12"/>
        <v>0.0</v>
      </c>
      <c r="C61" s="206">
        <f t="shared" si="10"/>
        <v>0.0</v>
      </c>
      <c r="D61" s="206">
        <f t="shared" si="10"/>
        <v>0.0</v>
      </c>
      <c r="E61" s="206">
        <f t="shared" si="10"/>
        <v>0.0</v>
      </c>
      <c r="F61" s="206">
        <f t="shared" si="10"/>
        <v>0.0</v>
      </c>
      <c r="G61" s="206">
        <f t="shared" si="10"/>
        <v>0.0</v>
      </c>
      <c r="H61" s="206">
        <f t="shared" si="10"/>
        <v>0.0</v>
      </c>
    </row>
    <row r="62" spans="8:8">
      <c r="A62" s="206">
        <f t="shared" si="11"/>
        <v>0.0</v>
      </c>
      <c r="B62" s="206">
        <f t="shared" si="13" ref="B62">H31*$B$44</f>
        <v>0.0</v>
      </c>
      <c r="C62" s="206">
        <f t="shared" si="14" ref="C62:H70">(B62/B$44)*C$44</f>
        <v>0.0</v>
      </c>
      <c r="D62" s="206">
        <f t="shared" si="14"/>
        <v>0.0</v>
      </c>
      <c r="E62" s="206">
        <f t="shared" si="14"/>
        <v>0.0</v>
      </c>
      <c r="F62" s="206">
        <f t="shared" si="14"/>
        <v>0.0</v>
      </c>
      <c r="G62" s="206">
        <f t="shared" si="14"/>
        <v>0.0</v>
      </c>
      <c r="H62" s="206">
        <f t="shared" si="14"/>
        <v>0.0</v>
      </c>
    </row>
    <row r="63" spans="8:8">
      <c r="A63" s="206">
        <f t="shared" si="15" ref="A63:A66">B33</f>
        <v>0.0</v>
      </c>
      <c r="B63" s="206">
        <f t="shared" si="16" ref="B63:B70">H33*$B$44</f>
        <v>0.0</v>
      </c>
      <c r="C63" s="206">
        <f t="shared" si="14"/>
        <v>0.0</v>
      </c>
      <c r="D63" s="206">
        <f t="shared" si="17" ref="D63:D66">(C63/C$44)*D$44</f>
        <v>0.0</v>
      </c>
      <c r="E63" s="206">
        <f t="shared" si="18" ref="E63:E66">(D63/D$44)*E$44</f>
        <v>0.0</v>
      </c>
      <c r="F63" s="206">
        <f t="shared" si="19" ref="F63:F66">(E63/E$44)*F$44</f>
        <v>0.0</v>
      </c>
      <c r="G63" s="206">
        <f t="shared" si="20" ref="G63:G66">(F63/F$44)*G$44</f>
        <v>0.0</v>
      </c>
      <c r="H63" s="206">
        <f t="shared" si="21" ref="H63:H66">(G63/G$44)*H$44</f>
        <v>0.0</v>
      </c>
    </row>
    <row r="64" spans="8:8">
      <c r="A64" s="206">
        <f t="shared" si="15"/>
        <v>0.0</v>
      </c>
      <c r="B64" s="206">
        <f t="shared" si="16"/>
        <v>0.0</v>
      </c>
      <c r="C64" s="206">
        <f t="shared" si="14"/>
        <v>0.0</v>
      </c>
      <c r="D64" s="206">
        <f t="shared" si="17"/>
        <v>0.0</v>
      </c>
      <c r="E64" s="206">
        <f t="shared" si="18"/>
        <v>0.0</v>
      </c>
      <c r="F64" s="206">
        <f t="shared" si="19"/>
        <v>0.0</v>
      </c>
      <c r="G64" s="206">
        <f t="shared" si="20"/>
        <v>0.0</v>
      </c>
      <c r="H64" s="206">
        <f t="shared" si="21"/>
        <v>0.0</v>
      </c>
    </row>
    <row r="65" spans="8:8">
      <c r="A65" s="206">
        <f t="shared" si="15"/>
        <v>0.0</v>
      </c>
      <c r="B65" s="206">
        <f t="shared" si="16"/>
        <v>0.0</v>
      </c>
      <c r="C65" s="206">
        <f t="shared" si="14"/>
        <v>0.0</v>
      </c>
      <c r="D65" s="206">
        <f t="shared" si="17"/>
        <v>0.0</v>
      </c>
      <c r="E65" s="206">
        <f t="shared" si="18"/>
        <v>0.0</v>
      </c>
      <c r="F65" s="206">
        <f t="shared" si="19"/>
        <v>0.0</v>
      </c>
      <c r="G65" s="206">
        <f t="shared" si="20"/>
        <v>0.0</v>
      </c>
      <c r="H65" s="206">
        <f t="shared" si="21"/>
        <v>0.0</v>
      </c>
    </row>
    <row r="66" spans="8:8">
      <c r="A66" s="206">
        <f t="shared" si="15"/>
        <v>0.0</v>
      </c>
      <c r="B66" s="206">
        <f t="shared" si="16"/>
        <v>0.0</v>
      </c>
      <c r="C66" s="206">
        <f t="shared" si="14"/>
        <v>0.0</v>
      </c>
      <c r="D66" s="206">
        <f t="shared" si="17"/>
        <v>0.0</v>
      </c>
      <c r="E66" s="206">
        <f t="shared" si="18"/>
        <v>0.0</v>
      </c>
      <c r="F66" s="206">
        <f t="shared" si="19"/>
        <v>0.0</v>
      </c>
      <c r="G66" s="206">
        <f t="shared" si="20"/>
        <v>0.0</v>
      </c>
      <c r="H66" s="206">
        <f t="shared" si="21"/>
        <v>0.0</v>
      </c>
    </row>
    <row r="67" spans="8:8">
      <c r="A67" s="206" t="str">
        <f>B37</f>
        <v>Pomegranate</v>
      </c>
      <c r="B67" s="206">
        <f t="shared" si="16"/>
        <v>0.0</v>
      </c>
      <c r="C67" s="206">
        <f t="shared" si="14"/>
        <v>0.0</v>
      </c>
      <c r="D67" s="206">
        <f t="shared" si="14"/>
        <v>0.0</v>
      </c>
      <c r="E67" s="206">
        <f t="shared" si="14"/>
        <v>0.0</v>
      </c>
      <c r="F67" s="206">
        <f t="shared" si="14"/>
        <v>0.0</v>
      </c>
      <c r="G67" s="206">
        <f t="shared" si="14"/>
        <v>0.0</v>
      </c>
      <c r="H67" s="206">
        <f t="shared" si="14"/>
        <v>0.0</v>
      </c>
    </row>
    <row r="68" spans="8:8">
      <c r="A68" s="206" t="str">
        <f t="shared" si="22" ref="A68:A70">B38</f>
        <v>Custard Apple</v>
      </c>
      <c r="B68" s="206">
        <f t="shared" si="16"/>
        <v>0.0</v>
      </c>
      <c r="C68" s="206">
        <f t="shared" si="14"/>
        <v>0.0</v>
      </c>
      <c r="D68" s="206">
        <f t="shared" si="14"/>
        <v>0.0</v>
      </c>
      <c r="E68" s="206">
        <f t="shared" si="14"/>
        <v>0.0</v>
      </c>
      <c r="F68" s="206">
        <f t="shared" si="14"/>
        <v>0.0</v>
      </c>
      <c r="G68" s="206">
        <f t="shared" si="14"/>
        <v>0.0</v>
      </c>
      <c r="H68" s="206">
        <f t="shared" si="14"/>
        <v>0.0</v>
      </c>
    </row>
    <row r="69" spans="8:8">
      <c r="A69" s="206" t="str">
        <f t="shared" si="22"/>
        <v>Guava</v>
      </c>
      <c r="B69" s="206">
        <f t="shared" si="16"/>
        <v>0.0</v>
      </c>
      <c r="C69" s="206">
        <f t="shared" si="14"/>
        <v>0.0</v>
      </c>
      <c r="D69" s="206">
        <f t="shared" si="14"/>
        <v>0.0</v>
      </c>
      <c r="E69" s="206">
        <f t="shared" si="14"/>
        <v>0.0</v>
      </c>
      <c r="F69" s="206">
        <f t="shared" si="14"/>
        <v>0.0</v>
      </c>
      <c r="G69" s="206">
        <f t="shared" si="14"/>
        <v>0.0</v>
      </c>
      <c r="H69" s="206">
        <f t="shared" si="14"/>
        <v>0.0</v>
      </c>
    </row>
    <row r="70" spans="8:8">
      <c r="A70" s="206" t="str">
        <f t="shared" si="22"/>
        <v>Citrus</v>
      </c>
      <c r="B70" s="206">
        <f t="shared" si="16"/>
        <v>0.0</v>
      </c>
      <c r="C70" s="206">
        <f t="shared" si="14"/>
        <v>0.0</v>
      </c>
      <c r="D70" s="206">
        <f t="shared" si="14"/>
        <v>0.0</v>
      </c>
      <c r="E70" s="206">
        <f t="shared" si="23" ref="E70">(D70/D$44)*E$44</f>
        <v>0.0</v>
      </c>
      <c r="F70" s="206">
        <f t="shared" si="24" ref="F70">(E70/E$44)*F$44</f>
        <v>0.0</v>
      </c>
      <c r="G70" s="206">
        <f t="shared" si="25" ref="G70:H70">(F70/F$44)*G$44</f>
        <v>0.0</v>
      </c>
      <c r="H70" s="206">
        <f t="shared" si="25"/>
        <v>0.0</v>
      </c>
    </row>
    <row r="71" spans="8:8" ht="18.75">
      <c r="A71" s="403" t="s">
        <v>598</v>
      </c>
      <c r="B71" s="404"/>
      <c r="C71" s="404"/>
      <c r="D71" s="404"/>
      <c r="E71" s="404"/>
      <c r="F71" s="404"/>
      <c r="G71" s="404"/>
      <c r="H71" s="405"/>
    </row>
    <row r="72" spans="8:8">
      <c r="A72" s="406" t="s">
        <v>0</v>
      </c>
      <c r="B72" s="407">
        <v>0.05</v>
      </c>
      <c r="C72" s="407">
        <f>B72+0.05</f>
        <v>0.1</v>
      </c>
      <c r="D72" s="407">
        <f t="shared" si="26" ref="D72:G72">C72+0.05</f>
        <v>0.15000000000000002</v>
      </c>
      <c r="E72" s="407">
        <f t="shared" si="26"/>
        <v>0.2</v>
      </c>
      <c r="F72" s="407">
        <f t="shared" si="26"/>
        <v>0.25</v>
      </c>
      <c r="G72" s="407">
        <f t="shared" si="26"/>
        <v>0.3</v>
      </c>
      <c r="H72" s="407">
        <f>G72+0.05</f>
        <v>0.35</v>
      </c>
    </row>
    <row r="73" spans="8:8">
      <c r="A73" s="408"/>
      <c r="B73" s="368" t="s">
        <v>2</v>
      </c>
      <c r="C73" s="368" t="s">
        <v>3</v>
      </c>
      <c r="D73" s="368" t="s">
        <v>4</v>
      </c>
      <c r="E73" s="368" t="s">
        <v>5</v>
      </c>
      <c r="F73" s="368" t="s">
        <v>6</v>
      </c>
      <c r="G73" s="368" t="s">
        <v>169</v>
      </c>
      <c r="H73" s="368" t="s">
        <v>168</v>
      </c>
    </row>
    <row r="74" spans="8:8" s="127" ht="15.0" customFormat="1">
      <c r="A74" s="206" t="str">
        <f t="shared" si="27" ref="A74:A98">A46</f>
        <v>Onion</v>
      </c>
      <c r="B74" s="206">
        <f t="shared" si="28" ref="B74:H74">H14*$B$72</f>
        <v>0.0</v>
      </c>
      <c r="C74" s="206">
        <f t="shared" si="28"/>
        <v>0.0</v>
      </c>
      <c r="D74" s="206">
        <f t="shared" si="28"/>
        <v>0.0</v>
      </c>
      <c r="E74" s="206">
        <f t="shared" si="28"/>
        <v>0.0</v>
      </c>
      <c r="F74" s="206">
        <f t="shared" si="28"/>
        <v>0.0</v>
      </c>
      <c r="G74" s="206">
        <f t="shared" si="28"/>
        <v>0.0</v>
      </c>
      <c r="H74" s="206">
        <f t="shared" si="28"/>
        <v>0.0</v>
      </c>
    </row>
    <row r="75" spans="8:8">
      <c r="A75" s="206" t="str">
        <f t="shared" si="27"/>
        <v>Tomato</v>
      </c>
      <c r="B75" s="206">
        <f>H15*$B$72*0</f>
        <v>0.0</v>
      </c>
      <c r="C75" s="206">
        <f>(B75/B72)*C72</f>
        <v>0.0</v>
      </c>
      <c r="D75" s="206">
        <f t="shared" si="29" ref="D75:G75">(C75/C72)*D72</f>
        <v>0.0</v>
      </c>
      <c r="E75" s="206">
        <f t="shared" si="29"/>
        <v>0.0</v>
      </c>
      <c r="F75" s="206">
        <f t="shared" si="29"/>
        <v>0.0</v>
      </c>
      <c r="G75" s="206">
        <f t="shared" si="29"/>
        <v>0.0</v>
      </c>
      <c r="H75" s="206">
        <f>(G75/G72)*H72</f>
        <v>0.0</v>
      </c>
    </row>
    <row r="76" spans="8:8">
      <c r="A76" s="206" t="str">
        <f t="shared" si="27"/>
        <v>Okra</v>
      </c>
      <c r="B76" s="206">
        <f t="shared" si="30" ref="B76:B82">H16*$B$72</f>
        <v>0.0</v>
      </c>
      <c r="C76" s="206">
        <f>(B76/B72)*C72</f>
        <v>0.0</v>
      </c>
      <c r="D76" s="206">
        <f>(C76/C72)*D72</f>
        <v>0.0</v>
      </c>
      <c r="E76" s="206">
        <f t="shared" si="31" ref="E76:G76">(D76/D72)*E72</f>
        <v>0.0</v>
      </c>
      <c r="F76" s="206">
        <f t="shared" si="31"/>
        <v>0.0</v>
      </c>
      <c r="G76" s="206">
        <f t="shared" si="31"/>
        <v>0.0</v>
      </c>
      <c r="H76" s="206">
        <f>(G76/G72)*H72</f>
        <v>0.0</v>
      </c>
    </row>
    <row r="77" spans="8:8">
      <c r="A77" s="206" t="str">
        <f t="shared" si="27"/>
        <v>Chilli</v>
      </c>
      <c r="B77" s="206">
        <f>H17*$B$72*0</f>
        <v>0.0</v>
      </c>
      <c r="C77" s="206">
        <f t="shared" si="32" ref="C77:H95">(B77/B$72)*C$72</f>
        <v>0.0</v>
      </c>
      <c r="D77" s="206">
        <f t="shared" si="32"/>
        <v>0.0</v>
      </c>
      <c r="E77" s="206">
        <f t="shared" si="32"/>
        <v>0.0</v>
      </c>
      <c r="F77" s="206">
        <f t="shared" si="32"/>
        <v>0.0</v>
      </c>
      <c r="G77" s="206">
        <f t="shared" si="32"/>
        <v>0.0</v>
      </c>
      <c r="H77" s="206">
        <f t="shared" si="32"/>
        <v>0.0</v>
      </c>
    </row>
    <row r="78" spans="8:8">
      <c r="A78" s="206" t="str">
        <f t="shared" si="27"/>
        <v>Potato</v>
      </c>
      <c r="B78" s="206">
        <f t="shared" si="30"/>
        <v>0.0</v>
      </c>
      <c r="C78" s="206">
        <f t="shared" si="32"/>
        <v>0.0</v>
      </c>
      <c r="D78" s="206">
        <f t="shared" si="32"/>
        <v>0.0</v>
      </c>
      <c r="E78" s="206">
        <f t="shared" si="32"/>
        <v>0.0</v>
      </c>
      <c r="F78" s="206">
        <f t="shared" si="32"/>
        <v>0.0</v>
      </c>
      <c r="G78" s="206">
        <f t="shared" si="32"/>
        <v>0.0</v>
      </c>
      <c r="H78" s="206">
        <f t="shared" si="32"/>
        <v>0.0</v>
      </c>
    </row>
    <row r="79" spans="8:8">
      <c r="A79" s="206">
        <f t="shared" si="27"/>
        <v>0.0</v>
      </c>
      <c r="B79" s="206">
        <f>H19*$B$72*0</f>
        <v>0.0</v>
      </c>
      <c r="C79" s="206">
        <f t="shared" si="32"/>
        <v>0.0</v>
      </c>
      <c r="D79" s="206">
        <f t="shared" si="32"/>
        <v>0.0</v>
      </c>
      <c r="E79" s="206">
        <f t="shared" si="32"/>
        <v>0.0</v>
      </c>
      <c r="F79" s="206">
        <f t="shared" si="32"/>
        <v>0.0</v>
      </c>
      <c r="G79" s="206">
        <f t="shared" si="32"/>
        <v>0.0</v>
      </c>
      <c r="H79" s="206">
        <f t="shared" si="32"/>
        <v>0.0</v>
      </c>
    </row>
    <row r="80" spans="8:8">
      <c r="A80" s="206">
        <f t="shared" si="27"/>
        <v>0.0</v>
      </c>
      <c r="B80" s="206">
        <f>H20*$B$72*0</f>
        <v>0.0</v>
      </c>
      <c r="C80" s="206">
        <f t="shared" si="32"/>
        <v>0.0</v>
      </c>
      <c r="D80" s="206">
        <f t="shared" si="32"/>
        <v>0.0</v>
      </c>
      <c r="E80" s="206">
        <f t="shared" si="32"/>
        <v>0.0</v>
      </c>
      <c r="F80" s="206">
        <f t="shared" si="32"/>
        <v>0.0</v>
      </c>
      <c r="G80" s="206">
        <f t="shared" si="32"/>
        <v>0.0</v>
      </c>
      <c r="H80" s="206">
        <f t="shared" si="32"/>
        <v>0.0</v>
      </c>
    </row>
    <row r="81" spans="8:8">
      <c r="A81" s="206">
        <f t="shared" si="27"/>
        <v>0.0</v>
      </c>
      <c r="B81" s="206">
        <f t="shared" si="30"/>
        <v>0.0</v>
      </c>
      <c r="C81" s="206">
        <f t="shared" si="32"/>
        <v>0.0</v>
      </c>
      <c r="D81" s="206">
        <f t="shared" si="32"/>
        <v>0.0</v>
      </c>
      <c r="E81" s="206">
        <f t="shared" si="32"/>
        <v>0.0</v>
      </c>
      <c r="F81" s="206">
        <f t="shared" si="32"/>
        <v>0.0</v>
      </c>
      <c r="G81" s="206">
        <f t="shared" si="32"/>
        <v>0.0</v>
      </c>
      <c r="H81" s="206">
        <f t="shared" si="32"/>
        <v>0.0</v>
      </c>
    </row>
    <row r="82" spans="8:8">
      <c r="A82" s="206">
        <f t="shared" si="27"/>
        <v>0.0</v>
      </c>
      <c r="B82" s="206">
        <f t="shared" si="30"/>
        <v>0.0</v>
      </c>
      <c r="C82" s="206">
        <f t="shared" si="32"/>
        <v>0.0</v>
      </c>
      <c r="D82" s="206">
        <f t="shared" si="32"/>
        <v>0.0</v>
      </c>
      <c r="E82" s="206">
        <f t="shared" si="32"/>
        <v>0.0</v>
      </c>
      <c r="F82" s="206">
        <f t="shared" si="32"/>
        <v>0.0</v>
      </c>
      <c r="G82" s="206">
        <f t="shared" si="32"/>
        <v>0.0</v>
      </c>
      <c r="H82" s="206">
        <f t="shared" si="32"/>
        <v>0.0</v>
      </c>
    </row>
    <row r="83" spans="8:8">
      <c r="A83" s="206" t="str">
        <f t="shared" si="27"/>
        <v>Onion</v>
      </c>
      <c r="B83" s="206">
        <f t="shared" si="33" ref="B83:B90">H24*$B$72</f>
        <v>0.0</v>
      </c>
      <c r="C83" s="206">
        <f t="shared" si="32"/>
        <v>0.0</v>
      </c>
      <c r="D83" s="206">
        <f t="shared" si="32"/>
        <v>0.0</v>
      </c>
      <c r="E83" s="206">
        <f t="shared" si="32"/>
        <v>0.0</v>
      </c>
      <c r="F83" s="206">
        <f t="shared" si="32"/>
        <v>0.0</v>
      </c>
      <c r="G83" s="206">
        <f t="shared" si="32"/>
        <v>0.0</v>
      </c>
      <c r="H83" s="206">
        <f t="shared" si="32"/>
        <v>0.0</v>
      </c>
    </row>
    <row r="84" spans="8:8">
      <c r="A84" s="206" t="str">
        <f t="shared" si="27"/>
        <v>Tomato</v>
      </c>
      <c r="B84" s="206">
        <f t="shared" si="33"/>
        <v>0.0</v>
      </c>
      <c r="C84" s="206">
        <f t="shared" si="32"/>
        <v>0.0</v>
      </c>
      <c r="D84" s="206">
        <f t="shared" si="32"/>
        <v>0.0</v>
      </c>
      <c r="E84" s="206">
        <f t="shared" si="32"/>
        <v>0.0</v>
      </c>
      <c r="F84" s="206">
        <f t="shared" si="32"/>
        <v>0.0</v>
      </c>
      <c r="G84" s="206">
        <f t="shared" si="32"/>
        <v>0.0</v>
      </c>
      <c r="H84" s="206">
        <f t="shared" si="32"/>
        <v>0.0</v>
      </c>
    </row>
    <row r="85" spans="8:8">
      <c r="A85" s="206" t="str">
        <f t="shared" si="27"/>
        <v>Okra</v>
      </c>
      <c r="B85" s="206">
        <f t="shared" si="33"/>
        <v>0.0</v>
      </c>
      <c r="C85" s="206">
        <f t="shared" si="32"/>
        <v>0.0</v>
      </c>
      <c r="D85" s="206">
        <f t="shared" si="32"/>
        <v>0.0</v>
      </c>
      <c r="E85" s="206">
        <f t="shared" si="32"/>
        <v>0.0</v>
      </c>
      <c r="F85" s="206">
        <f t="shared" si="32"/>
        <v>0.0</v>
      </c>
      <c r="G85" s="206">
        <f t="shared" si="32"/>
        <v>0.0</v>
      </c>
      <c r="H85" s="206">
        <f t="shared" si="32"/>
        <v>0.0</v>
      </c>
    </row>
    <row r="86" spans="8:8">
      <c r="A86" s="206" t="str">
        <f t="shared" si="27"/>
        <v>Chilli</v>
      </c>
      <c r="B86" s="206">
        <f t="shared" si="33"/>
        <v>0.0</v>
      </c>
      <c r="C86" s="206">
        <f t="shared" si="32"/>
        <v>0.0</v>
      </c>
      <c r="D86" s="206">
        <f t="shared" si="32"/>
        <v>0.0</v>
      </c>
      <c r="E86" s="206">
        <f t="shared" si="32"/>
        <v>0.0</v>
      </c>
      <c r="F86" s="206">
        <f t="shared" si="32"/>
        <v>0.0</v>
      </c>
      <c r="G86" s="206">
        <f t="shared" si="32"/>
        <v>0.0</v>
      </c>
      <c r="H86" s="206">
        <f t="shared" si="32"/>
        <v>0.0</v>
      </c>
    </row>
    <row r="87" spans="8:8">
      <c r="A87" s="206" t="str">
        <f t="shared" si="27"/>
        <v>Brinjal</v>
      </c>
      <c r="B87" s="206">
        <f t="shared" si="33"/>
        <v>0.0</v>
      </c>
      <c r="C87" s="206">
        <f t="shared" si="32"/>
        <v>0.0</v>
      </c>
      <c r="D87" s="206">
        <f t="shared" si="32"/>
        <v>0.0</v>
      </c>
      <c r="E87" s="206">
        <f t="shared" si="32"/>
        <v>0.0</v>
      </c>
      <c r="F87" s="206">
        <f t="shared" si="32"/>
        <v>0.0</v>
      </c>
      <c r="G87" s="206">
        <f t="shared" si="32"/>
        <v>0.0</v>
      </c>
      <c r="H87" s="206">
        <f t="shared" si="32"/>
        <v>0.0</v>
      </c>
    </row>
    <row r="88" spans="8:8">
      <c r="A88" s="206">
        <f t="shared" si="27"/>
        <v>0.0</v>
      </c>
      <c r="B88" s="206">
        <f t="shared" si="33"/>
        <v>0.0</v>
      </c>
      <c r="C88" s="206">
        <f t="shared" si="32"/>
        <v>0.0</v>
      </c>
      <c r="D88" s="206">
        <f t="shared" si="32"/>
        <v>0.0</v>
      </c>
      <c r="E88" s="206">
        <f t="shared" si="32"/>
        <v>0.0</v>
      </c>
      <c r="F88" s="206">
        <f t="shared" si="32"/>
        <v>0.0</v>
      </c>
      <c r="G88" s="206">
        <f t="shared" si="32"/>
        <v>0.0</v>
      </c>
      <c r="H88" s="206">
        <f t="shared" si="32"/>
        <v>0.0</v>
      </c>
    </row>
    <row r="89" spans="8:8">
      <c r="A89" s="206">
        <f t="shared" si="27"/>
        <v>0.0</v>
      </c>
      <c r="B89" s="206">
        <f t="shared" si="33"/>
        <v>0.0</v>
      </c>
      <c r="C89" s="206">
        <f t="shared" si="32"/>
        <v>0.0</v>
      </c>
      <c r="D89" s="206">
        <f t="shared" si="32"/>
        <v>0.0</v>
      </c>
      <c r="E89" s="206">
        <f t="shared" si="32"/>
        <v>0.0</v>
      </c>
      <c r="F89" s="206">
        <f t="shared" si="32"/>
        <v>0.0</v>
      </c>
      <c r="G89" s="206">
        <f t="shared" si="32"/>
        <v>0.0</v>
      </c>
      <c r="H89" s="206">
        <f t="shared" si="32"/>
        <v>0.0</v>
      </c>
    </row>
    <row r="90" spans="8:8">
      <c r="A90" s="206">
        <f t="shared" si="27"/>
        <v>0.0</v>
      </c>
      <c r="B90" s="206">
        <f t="shared" si="33"/>
        <v>0.0</v>
      </c>
      <c r="C90" s="206">
        <f t="shared" si="32"/>
        <v>0.0</v>
      </c>
      <c r="D90" s="206">
        <f t="shared" si="32"/>
        <v>0.0</v>
      </c>
      <c r="E90" s="206">
        <f t="shared" si="32"/>
        <v>0.0</v>
      </c>
      <c r="F90" s="206">
        <f t="shared" si="32"/>
        <v>0.0</v>
      </c>
      <c r="G90" s="206">
        <f t="shared" si="32"/>
        <v>0.0</v>
      </c>
      <c r="H90" s="206">
        <f t="shared" si="32"/>
        <v>0.0</v>
      </c>
    </row>
    <row r="91" spans="8:8">
      <c r="A91" s="206">
        <f t="shared" si="27"/>
        <v>0.0</v>
      </c>
      <c r="B91" s="206">
        <f t="shared" si="34" ref="B91:B98">H33*$B$72</f>
        <v>0.0</v>
      </c>
      <c r="C91" s="206">
        <f t="shared" si="32"/>
        <v>0.0</v>
      </c>
      <c r="D91" s="206">
        <f t="shared" si="35" ref="D91:D94">(C91/C$72)*D$72</f>
        <v>0.0</v>
      </c>
      <c r="E91" s="206">
        <f t="shared" si="36" ref="E91:E94">(D91/D$72)*E$72</f>
        <v>0.0</v>
      </c>
      <c r="F91" s="206">
        <f t="shared" si="37" ref="F91:F94">(E91/E$72)*F$72</f>
        <v>0.0</v>
      </c>
      <c r="G91" s="206">
        <f t="shared" si="38" ref="G91:G94">(F91/F$72)*G$72</f>
        <v>0.0</v>
      </c>
      <c r="H91" s="206">
        <f t="shared" si="32"/>
        <v>0.0</v>
      </c>
    </row>
    <row r="92" spans="8:8">
      <c r="A92" s="206">
        <f t="shared" si="27"/>
        <v>0.0</v>
      </c>
      <c r="B92" s="206">
        <f t="shared" si="34"/>
        <v>0.0</v>
      </c>
      <c r="C92" s="206">
        <f t="shared" si="32"/>
        <v>0.0</v>
      </c>
      <c r="D92" s="206">
        <f t="shared" si="35"/>
        <v>0.0</v>
      </c>
      <c r="E92" s="206">
        <f t="shared" si="36"/>
        <v>0.0</v>
      </c>
      <c r="F92" s="206">
        <f t="shared" si="37"/>
        <v>0.0</v>
      </c>
      <c r="G92" s="206">
        <f t="shared" si="38"/>
        <v>0.0</v>
      </c>
      <c r="H92" s="206"/>
    </row>
    <row r="93" spans="8:8">
      <c r="A93" s="206">
        <f t="shared" si="27"/>
        <v>0.0</v>
      </c>
      <c r="B93" s="206">
        <f t="shared" si="34"/>
        <v>0.0</v>
      </c>
      <c r="C93" s="206">
        <f t="shared" si="32"/>
        <v>0.0</v>
      </c>
      <c r="D93" s="206">
        <f t="shared" si="35"/>
        <v>0.0</v>
      </c>
      <c r="E93" s="206">
        <f t="shared" si="36"/>
        <v>0.0</v>
      </c>
      <c r="F93" s="206">
        <f t="shared" si="37"/>
        <v>0.0</v>
      </c>
      <c r="G93" s="206">
        <f t="shared" si="38"/>
        <v>0.0</v>
      </c>
      <c r="H93" s="206"/>
    </row>
    <row r="94" spans="8:8">
      <c r="A94" s="206">
        <f t="shared" si="27"/>
        <v>0.0</v>
      </c>
      <c r="B94" s="206">
        <f t="shared" si="34"/>
        <v>0.0</v>
      </c>
      <c r="C94" s="206">
        <f t="shared" si="32"/>
        <v>0.0</v>
      </c>
      <c r="D94" s="206">
        <f t="shared" si="35"/>
        <v>0.0</v>
      </c>
      <c r="E94" s="206">
        <f t="shared" si="36"/>
        <v>0.0</v>
      </c>
      <c r="F94" s="206">
        <f t="shared" si="37"/>
        <v>0.0</v>
      </c>
      <c r="G94" s="206">
        <f t="shared" si="38"/>
        <v>0.0</v>
      </c>
      <c r="H94" s="206"/>
    </row>
    <row r="95" spans="8:8">
      <c r="A95" s="206" t="str">
        <f t="shared" si="27"/>
        <v>Pomegranate</v>
      </c>
      <c r="B95" s="206">
        <f t="shared" si="34"/>
        <v>0.0</v>
      </c>
      <c r="C95" s="206">
        <f t="shared" si="32"/>
        <v>0.0</v>
      </c>
      <c r="D95" s="206">
        <f t="shared" si="32"/>
        <v>0.0</v>
      </c>
      <c r="E95" s="206">
        <f t="shared" si="32"/>
        <v>0.0</v>
      </c>
      <c r="F95" s="206">
        <f t="shared" si="32"/>
        <v>0.0</v>
      </c>
      <c r="G95" s="206">
        <f t="shared" si="32"/>
        <v>0.0</v>
      </c>
      <c r="H95" s="206">
        <f t="shared" si="32"/>
        <v>0.0</v>
      </c>
    </row>
    <row r="96" spans="8:8">
      <c r="A96" s="206" t="str">
        <f t="shared" si="27"/>
        <v>Custard Apple</v>
      </c>
      <c r="B96" s="206">
        <f t="shared" si="34"/>
        <v>0.0</v>
      </c>
      <c r="C96" s="206">
        <f t="shared" si="39" ref="C96:H98">(B96/B$72)*C$72</f>
        <v>0.0</v>
      </c>
      <c r="D96" s="206">
        <f t="shared" si="39"/>
        <v>0.0</v>
      </c>
      <c r="E96" s="206">
        <f t="shared" si="39"/>
        <v>0.0</v>
      </c>
      <c r="F96" s="206">
        <f t="shared" si="39"/>
        <v>0.0</v>
      </c>
      <c r="G96" s="206">
        <f t="shared" si="39"/>
        <v>0.0</v>
      </c>
      <c r="H96" s="206">
        <f t="shared" si="39"/>
        <v>0.0</v>
      </c>
    </row>
    <row r="97" spans="8:8">
      <c r="A97" s="206" t="str">
        <f t="shared" si="27"/>
        <v>Guava</v>
      </c>
      <c r="B97" s="206">
        <f t="shared" si="34"/>
        <v>0.0</v>
      </c>
      <c r="C97" s="206">
        <f t="shared" si="39"/>
        <v>0.0</v>
      </c>
      <c r="D97" s="206">
        <f t="shared" si="39"/>
        <v>0.0</v>
      </c>
      <c r="E97" s="206">
        <f t="shared" si="39"/>
        <v>0.0</v>
      </c>
      <c r="F97" s="206">
        <f t="shared" si="39"/>
        <v>0.0</v>
      </c>
      <c r="G97" s="206">
        <f t="shared" si="39"/>
        <v>0.0</v>
      </c>
      <c r="H97" s="206">
        <f t="shared" si="39"/>
        <v>0.0</v>
      </c>
    </row>
    <row r="98" spans="8:8">
      <c r="A98" s="206" t="str">
        <f t="shared" si="27"/>
        <v>Citrus</v>
      </c>
      <c r="B98" s="206">
        <f t="shared" si="34"/>
        <v>0.0</v>
      </c>
      <c r="C98" s="206">
        <f t="shared" si="39"/>
        <v>0.0</v>
      </c>
      <c r="D98" s="206">
        <f t="shared" si="40" ref="D98">(C98/C$72)*D$72</f>
        <v>0.0</v>
      </c>
      <c r="E98" s="206">
        <f t="shared" si="41" ref="E98">(D98/D$72)*E$72</f>
        <v>0.0</v>
      </c>
      <c r="F98" s="206">
        <f t="shared" si="42" ref="F98">(E98/E$72)*F$72</f>
        <v>0.0</v>
      </c>
      <c r="G98" s="206">
        <f t="shared" si="43" ref="G98">(F98/F$72)*G$72</f>
        <v>0.0</v>
      </c>
      <c r="H98" s="206">
        <f t="shared" si="44" ref="H98">(G98/G$72)*H$72</f>
        <v>0.0</v>
      </c>
      <c r="I98" s="409"/>
    </row>
    <row r="99" spans="8:8" ht="18.75">
      <c r="A99" s="403" t="s">
        <v>599</v>
      </c>
      <c r="B99" s="404"/>
      <c r="C99" s="404"/>
      <c r="D99" s="404"/>
      <c r="E99" s="404"/>
      <c r="F99" s="404"/>
      <c r="G99" s="404"/>
      <c r="H99" s="405"/>
    </row>
    <row r="100" spans="8:8">
      <c r="A100" s="413" t="s">
        <v>0</v>
      </c>
      <c r="B100" s="414">
        <v>0.65</v>
      </c>
      <c r="C100" s="415">
        <f>B100+0.05</f>
        <v>0.7000000000000001</v>
      </c>
      <c r="D100" s="415">
        <f t="shared" si="45" ref="D100:G100">C100+0.05</f>
        <v>0.75</v>
      </c>
      <c r="E100" s="415">
        <f t="shared" si="45"/>
        <v>0.8</v>
      </c>
      <c r="F100" s="415">
        <f t="shared" si="45"/>
        <v>0.8500000000000001</v>
      </c>
      <c r="G100" s="415">
        <f t="shared" si="45"/>
        <v>0.9</v>
      </c>
      <c r="H100" s="415">
        <f>G100+0.05</f>
        <v>0.9500000000000001</v>
      </c>
    </row>
    <row r="101" spans="8:8">
      <c r="A101" s="416"/>
      <c r="B101" s="368" t="s">
        <v>2</v>
      </c>
      <c r="C101" s="368" t="s">
        <v>3</v>
      </c>
      <c r="D101" s="368" t="s">
        <v>4</v>
      </c>
      <c r="E101" s="368" t="s">
        <v>5</v>
      </c>
      <c r="F101" s="368" t="s">
        <v>6</v>
      </c>
      <c r="G101" s="368" t="s">
        <v>169</v>
      </c>
      <c r="H101" s="368" t="s">
        <v>168</v>
      </c>
    </row>
    <row r="102" spans="8:8" s="127" ht="15.0" customFormat="1">
      <c r="A102" s="206" t="str">
        <f t="shared" si="46" ref="A102:A126">A74</f>
        <v>Onion</v>
      </c>
      <c r="B102" s="206">
        <f t="shared" si="47" ref="B102:B110">D14*$B$100</f>
        <v>0.0</v>
      </c>
      <c r="C102" s="417">
        <f t="shared" si="48" ref="C102:H117">(B102/B$100)*C$100</f>
        <v>0.0</v>
      </c>
      <c r="D102" s="417">
        <f t="shared" si="48"/>
        <v>0.0</v>
      </c>
      <c r="E102" s="417">
        <f t="shared" si="48"/>
        <v>0.0</v>
      </c>
      <c r="F102" s="417">
        <f t="shared" si="48"/>
        <v>0.0</v>
      </c>
      <c r="G102" s="417">
        <f t="shared" si="48"/>
        <v>0.0</v>
      </c>
      <c r="H102" s="417">
        <f t="shared" si="48"/>
        <v>0.0</v>
      </c>
    </row>
    <row r="103" spans="8:8">
      <c r="A103" s="206" t="str">
        <f t="shared" si="46"/>
        <v>Tomato</v>
      </c>
      <c r="B103" s="206">
        <f t="shared" si="47"/>
        <v>0.0</v>
      </c>
      <c r="C103" s="417">
        <f t="shared" si="48"/>
        <v>0.0</v>
      </c>
      <c r="D103" s="417">
        <f>(C103/C100)*D100</f>
        <v>0.0</v>
      </c>
      <c r="E103" s="417">
        <f t="shared" si="49" ref="E103:G103">(D103/D100)*E100</f>
        <v>0.0</v>
      </c>
      <c r="F103" s="417">
        <f t="shared" si="49"/>
        <v>0.0</v>
      </c>
      <c r="G103" s="417">
        <f t="shared" si="49"/>
        <v>0.0</v>
      </c>
      <c r="H103" s="417">
        <f>(G103/G100)*H100</f>
        <v>0.0</v>
      </c>
    </row>
    <row r="104" spans="8:8">
      <c r="A104" s="206" t="str">
        <f t="shared" si="46"/>
        <v>Okra</v>
      </c>
      <c r="B104" s="206">
        <f t="shared" si="47"/>
        <v>0.0</v>
      </c>
      <c r="C104" s="417">
        <f t="shared" si="48"/>
        <v>0.0</v>
      </c>
      <c r="D104" s="417">
        <f t="shared" si="48"/>
        <v>0.0</v>
      </c>
      <c r="E104" s="417">
        <f t="shared" si="48"/>
        <v>0.0</v>
      </c>
      <c r="F104" s="417">
        <f t="shared" si="48"/>
        <v>0.0</v>
      </c>
      <c r="G104" s="417">
        <f t="shared" si="48"/>
        <v>0.0</v>
      </c>
      <c r="H104" s="417">
        <f t="shared" si="48"/>
        <v>0.0</v>
      </c>
    </row>
    <row r="105" spans="8:8">
      <c r="A105" s="206" t="str">
        <f t="shared" si="46"/>
        <v>Chilli</v>
      </c>
      <c r="B105" s="206">
        <f t="shared" si="47"/>
        <v>0.0</v>
      </c>
      <c r="C105" s="417">
        <f t="shared" si="48"/>
        <v>0.0</v>
      </c>
      <c r="D105" s="417">
        <f t="shared" si="48"/>
        <v>0.0</v>
      </c>
      <c r="E105" s="417">
        <f t="shared" si="48"/>
        <v>0.0</v>
      </c>
      <c r="F105" s="417">
        <f t="shared" si="48"/>
        <v>0.0</v>
      </c>
      <c r="G105" s="417">
        <f t="shared" si="48"/>
        <v>0.0</v>
      </c>
      <c r="H105" s="417">
        <f t="shared" si="48"/>
        <v>0.0</v>
      </c>
    </row>
    <row r="106" spans="8:8">
      <c r="A106" s="206" t="str">
        <f t="shared" si="46"/>
        <v>Potato</v>
      </c>
      <c r="B106" s="422">
        <f t="shared" si="47"/>
        <v>0.0</v>
      </c>
      <c r="C106" s="417">
        <f t="shared" si="48"/>
        <v>0.0</v>
      </c>
      <c r="D106" s="417">
        <f t="shared" si="48"/>
        <v>0.0</v>
      </c>
      <c r="E106" s="417">
        <f t="shared" si="48"/>
        <v>0.0</v>
      </c>
      <c r="F106" s="417">
        <f t="shared" si="48"/>
        <v>0.0</v>
      </c>
      <c r="G106" s="417">
        <f t="shared" si="48"/>
        <v>0.0</v>
      </c>
      <c r="H106" s="417">
        <f t="shared" si="48"/>
        <v>0.0</v>
      </c>
    </row>
    <row r="107" spans="8:8">
      <c r="A107" s="206">
        <f t="shared" si="46"/>
        <v>0.0</v>
      </c>
      <c r="B107" s="206">
        <f t="shared" si="47"/>
        <v>0.0</v>
      </c>
      <c r="C107" s="417">
        <f t="shared" si="48"/>
        <v>0.0</v>
      </c>
      <c r="D107" s="417">
        <f t="shared" si="48"/>
        <v>0.0</v>
      </c>
      <c r="E107" s="417">
        <f t="shared" si="48"/>
        <v>0.0</v>
      </c>
      <c r="F107" s="417">
        <f t="shared" si="48"/>
        <v>0.0</v>
      </c>
      <c r="G107" s="417">
        <f t="shared" si="48"/>
        <v>0.0</v>
      </c>
      <c r="H107" s="417">
        <f t="shared" si="48"/>
        <v>0.0</v>
      </c>
    </row>
    <row r="108" spans="8:8">
      <c r="A108" s="206">
        <f t="shared" si="46"/>
        <v>0.0</v>
      </c>
      <c r="B108" s="206">
        <f t="shared" si="47"/>
        <v>0.0</v>
      </c>
      <c r="C108" s="417">
        <f t="shared" si="48"/>
        <v>0.0</v>
      </c>
      <c r="D108" s="417">
        <f t="shared" si="48"/>
        <v>0.0</v>
      </c>
      <c r="E108" s="417">
        <f t="shared" si="48"/>
        <v>0.0</v>
      </c>
      <c r="F108" s="417">
        <f t="shared" si="48"/>
        <v>0.0</v>
      </c>
      <c r="G108" s="417">
        <f t="shared" si="48"/>
        <v>0.0</v>
      </c>
      <c r="H108" s="417">
        <f t="shared" si="48"/>
        <v>0.0</v>
      </c>
    </row>
    <row r="109" spans="8:8">
      <c r="A109" s="206">
        <f t="shared" si="46"/>
        <v>0.0</v>
      </c>
      <c r="B109" s="206">
        <f t="shared" si="47"/>
        <v>0.0</v>
      </c>
      <c r="C109" s="417">
        <f t="shared" si="48"/>
        <v>0.0</v>
      </c>
      <c r="D109" s="417">
        <f t="shared" si="48"/>
        <v>0.0</v>
      </c>
      <c r="E109" s="417">
        <f t="shared" si="48"/>
        <v>0.0</v>
      </c>
      <c r="F109" s="417">
        <f t="shared" si="48"/>
        <v>0.0</v>
      </c>
      <c r="G109" s="417">
        <f t="shared" si="48"/>
        <v>0.0</v>
      </c>
      <c r="H109" s="417">
        <f t="shared" si="48"/>
        <v>0.0</v>
      </c>
    </row>
    <row r="110" spans="8:8">
      <c r="A110" s="206">
        <f t="shared" si="46"/>
        <v>0.0</v>
      </c>
      <c r="B110" s="206">
        <f t="shared" si="47"/>
        <v>0.0</v>
      </c>
      <c r="C110" s="417">
        <f t="shared" si="48"/>
        <v>0.0</v>
      </c>
      <c r="D110" s="417">
        <f t="shared" si="48"/>
        <v>0.0</v>
      </c>
      <c r="E110" s="417">
        <f t="shared" si="48"/>
        <v>0.0</v>
      </c>
      <c r="F110" s="417">
        <f t="shared" si="48"/>
        <v>0.0</v>
      </c>
      <c r="G110" s="417">
        <f t="shared" si="48"/>
        <v>0.0</v>
      </c>
      <c r="H110" s="417">
        <f t="shared" si="48"/>
        <v>0.0</v>
      </c>
    </row>
    <row r="111" spans="8:8">
      <c r="A111" s="206" t="str">
        <f t="shared" si="46"/>
        <v>Onion</v>
      </c>
      <c r="B111" s="206">
        <f t="shared" si="50" ref="B111:B118">D24*$B$100</f>
        <v>0.0</v>
      </c>
      <c r="C111" s="417">
        <f t="shared" si="48"/>
        <v>0.0</v>
      </c>
      <c r="D111" s="417">
        <f t="shared" si="48"/>
        <v>0.0</v>
      </c>
      <c r="E111" s="417">
        <f t="shared" si="48"/>
        <v>0.0</v>
      </c>
      <c r="F111" s="417">
        <f t="shared" si="48"/>
        <v>0.0</v>
      </c>
      <c r="G111" s="417">
        <f t="shared" si="48"/>
        <v>0.0</v>
      </c>
      <c r="H111" s="417">
        <f t="shared" si="48"/>
        <v>0.0</v>
      </c>
    </row>
    <row r="112" spans="8:8">
      <c r="A112" s="206" t="str">
        <f t="shared" si="46"/>
        <v>Tomato</v>
      </c>
      <c r="B112" s="206">
        <f t="shared" si="50"/>
        <v>0.0</v>
      </c>
      <c r="C112" s="417">
        <f t="shared" si="48"/>
        <v>0.0</v>
      </c>
      <c r="D112" s="417">
        <f t="shared" si="48"/>
        <v>0.0</v>
      </c>
      <c r="E112" s="417">
        <f t="shared" si="48"/>
        <v>0.0</v>
      </c>
      <c r="F112" s="417">
        <f t="shared" si="48"/>
        <v>0.0</v>
      </c>
      <c r="G112" s="417">
        <f t="shared" si="48"/>
        <v>0.0</v>
      </c>
      <c r="H112" s="417">
        <f t="shared" si="48"/>
        <v>0.0</v>
      </c>
    </row>
    <row r="113" spans="8:8">
      <c r="A113" s="206" t="str">
        <f t="shared" si="46"/>
        <v>Okra</v>
      </c>
      <c r="B113" s="206">
        <f t="shared" si="50"/>
        <v>0.0</v>
      </c>
      <c r="C113" s="417">
        <f t="shared" si="48"/>
        <v>0.0</v>
      </c>
      <c r="D113" s="417">
        <f t="shared" si="48"/>
        <v>0.0</v>
      </c>
      <c r="E113" s="417">
        <f t="shared" si="48"/>
        <v>0.0</v>
      </c>
      <c r="F113" s="417">
        <f t="shared" si="48"/>
        <v>0.0</v>
      </c>
      <c r="G113" s="417">
        <f t="shared" si="48"/>
        <v>0.0</v>
      </c>
      <c r="H113" s="417">
        <f t="shared" si="48"/>
        <v>0.0</v>
      </c>
    </row>
    <row r="114" spans="8:8">
      <c r="A114" s="206" t="str">
        <f t="shared" si="46"/>
        <v>Chilli</v>
      </c>
      <c r="B114" s="206">
        <f t="shared" si="50"/>
        <v>0.0</v>
      </c>
      <c r="C114" s="417">
        <f t="shared" si="48"/>
        <v>0.0</v>
      </c>
      <c r="D114" s="417">
        <f t="shared" si="48"/>
        <v>0.0</v>
      </c>
      <c r="E114" s="417">
        <f t="shared" si="48"/>
        <v>0.0</v>
      </c>
      <c r="F114" s="417">
        <f t="shared" si="48"/>
        <v>0.0</v>
      </c>
      <c r="G114" s="417">
        <f t="shared" si="48"/>
        <v>0.0</v>
      </c>
      <c r="H114" s="417">
        <f t="shared" si="48"/>
        <v>0.0</v>
      </c>
    </row>
    <row r="115" spans="8:8">
      <c r="A115" s="206" t="str">
        <f t="shared" si="46"/>
        <v>Brinjal</v>
      </c>
      <c r="B115" s="206">
        <f t="shared" si="50"/>
        <v>0.0</v>
      </c>
      <c r="C115" s="417">
        <f t="shared" si="48"/>
        <v>0.0</v>
      </c>
      <c r="D115" s="417">
        <f t="shared" si="48"/>
        <v>0.0</v>
      </c>
      <c r="E115" s="417">
        <f t="shared" si="48"/>
        <v>0.0</v>
      </c>
      <c r="F115" s="417">
        <f t="shared" si="48"/>
        <v>0.0</v>
      </c>
      <c r="G115" s="417">
        <f t="shared" si="48"/>
        <v>0.0</v>
      </c>
      <c r="H115" s="417">
        <f t="shared" si="48"/>
        <v>0.0</v>
      </c>
    </row>
    <row r="116" spans="8:8">
      <c r="A116" s="206">
        <f t="shared" si="46"/>
        <v>0.0</v>
      </c>
      <c r="B116" s="206">
        <f t="shared" si="50"/>
        <v>0.0</v>
      </c>
      <c r="C116" s="417">
        <f t="shared" si="48"/>
        <v>0.0</v>
      </c>
      <c r="D116" s="417">
        <f t="shared" si="48"/>
        <v>0.0</v>
      </c>
      <c r="E116" s="417">
        <f t="shared" si="48"/>
        <v>0.0</v>
      </c>
      <c r="F116" s="417">
        <f t="shared" si="48"/>
        <v>0.0</v>
      </c>
      <c r="G116" s="417">
        <f t="shared" si="48"/>
        <v>0.0</v>
      </c>
      <c r="H116" s="417">
        <f t="shared" si="48"/>
        <v>0.0</v>
      </c>
    </row>
    <row r="117" spans="8:8">
      <c r="A117" s="206">
        <f t="shared" si="46"/>
        <v>0.0</v>
      </c>
      <c r="B117" s="206">
        <f t="shared" si="50"/>
        <v>0.0</v>
      </c>
      <c r="C117" s="417">
        <f t="shared" si="48"/>
        <v>0.0</v>
      </c>
      <c r="D117" s="417">
        <f t="shared" si="48"/>
        <v>0.0</v>
      </c>
      <c r="E117" s="417">
        <f t="shared" si="48"/>
        <v>0.0</v>
      </c>
      <c r="F117" s="417">
        <f t="shared" si="48"/>
        <v>0.0</v>
      </c>
      <c r="G117" s="417">
        <f t="shared" si="48"/>
        <v>0.0</v>
      </c>
      <c r="H117" s="417">
        <f t="shared" si="48"/>
        <v>0.0</v>
      </c>
    </row>
    <row r="118" spans="8:8">
      <c r="A118" s="206">
        <f t="shared" si="46"/>
        <v>0.0</v>
      </c>
      <c r="B118" s="206">
        <f t="shared" si="50"/>
        <v>0.0</v>
      </c>
      <c r="C118" s="417">
        <f t="shared" si="51" ref="C118:H126">(B118/B$100)*C$100</f>
        <v>0.0</v>
      </c>
      <c r="D118" s="417">
        <f t="shared" si="51"/>
        <v>0.0</v>
      </c>
      <c r="E118" s="417">
        <f t="shared" si="51"/>
        <v>0.0</v>
      </c>
      <c r="F118" s="417">
        <f t="shared" si="51"/>
        <v>0.0</v>
      </c>
      <c r="G118" s="417">
        <f t="shared" si="51"/>
        <v>0.0</v>
      </c>
      <c r="H118" s="417">
        <f t="shared" si="51"/>
        <v>0.0</v>
      </c>
    </row>
    <row r="119" spans="8:8">
      <c r="A119" s="206">
        <f t="shared" si="46"/>
        <v>0.0</v>
      </c>
      <c r="B119" s="206">
        <f t="shared" si="52" ref="B119:B126">D33*$B$100</f>
        <v>0.0</v>
      </c>
      <c r="C119" s="417">
        <f t="shared" si="51"/>
        <v>0.0</v>
      </c>
      <c r="D119" s="417">
        <f t="shared" si="51"/>
        <v>0.0</v>
      </c>
      <c r="E119" s="417">
        <f t="shared" si="51"/>
        <v>0.0</v>
      </c>
      <c r="F119" s="417">
        <f t="shared" si="51"/>
        <v>0.0</v>
      </c>
      <c r="G119" s="417">
        <f t="shared" si="51"/>
        <v>0.0</v>
      </c>
      <c r="H119" s="417">
        <f t="shared" si="51"/>
        <v>0.0</v>
      </c>
    </row>
    <row r="120" spans="8:8">
      <c r="A120" s="206">
        <f t="shared" si="46"/>
        <v>0.0</v>
      </c>
      <c r="B120" s="206">
        <f t="shared" si="52"/>
        <v>0.0</v>
      </c>
      <c r="C120" s="417">
        <f t="shared" si="51"/>
        <v>0.0</v>
      </c>
      <c r="D120" s="417">
        <f t="shared" si="53" ref="D120:D122">(C120/C$100)*D$100</f>
        <v>0.0</v>
      </c>
      <c r="E120" s="417">
        <f t="shared" si="54" ref="E120:E122">(D120/D$100)*E$100</f>
        <v>0.0</v>
      </c>
      <c r="F120" s="417">
        <f t="shared" si="55" ref="F120:F122">(E120/E$100)*F$100</f>
        <v>0.0</v>
      </c>
      <c r="G120" s="417">
        <f t="shared" si="56" ref="G120:G122">(F120/F$100)*G$100</f>
        <v>0.0</v>
      </c>
      <c r="H120" s="417">
        <f t="shared" si="51"/>
        <v>0.0</v>
      </c>
    </row>
    <row r="121" spans="8:8">
      <c r="A121" s="206">
        <f t="shared" si="46"/>
        <v>0.0</v>
      </c>
      <c r="B121" s="206">
        <f t="shared" si="52"/>
        <v>0.0</v>
      </c>
      <c r="C121" s="417">
        <f t="shared" si="51"/>
        <v>0.0</v>
      </c>
      <c r="D121" s="417">
        <f t="shared" si="53"/>
        <v>0.0</v>
      </c>
      <c r="E121" s="417">
        <f t="shared" si="54"/>
        <v>0.0</v>
      </c>
      <c r="F121" s="417">
        <f t="shared" si="55"/>
        <v>0.0</v>
      </c>
      <c r="G121" s="417">
        <f t="shared" si="56"/>
        <v>0.0</v>
      </c>
      <c r="H121" s="417">
        <f t="shared" si="51"/>
        <v>0.0</v>
      </c>
    </row>
    <row r="122" spans="8:8">
      <c r="A122" s="206">
        <f t="shared" si="46"/>
        <v>0.0</v>
      </c>
      <c r="B122" s="206">
        <f t="shared" si="52"/>
        <v>0.0</v>
      </c>
      <c r="C122" s="417">
        <f t="shared" si="51"/>
        <v>0.0</v>
      </c>
      <c r="D122" s="417">
        <f t="shared" si="53"/>
        <v>0.0</v>
      </c>
      <c r="E122" s="417">
        <f t="shared" si="54"/>
        <v>0.0</v>
      </c>
      <c r="F122" s="417">
        <f t="shared" si="55"/>
        <v>0.0</v>
      </c>
      <c r="G122" s="417">
        <f t="shared" si="56"/>
        <v>0.0</v>
      </c>
      <c r="H122" s="417">
        <f t="shared" si="51"/>
        <v>0.0</v>
      </c>
    </row>
    <row r="123" spans="8:8">
      <c r="A123" s="206" t="str">
        <f t="shared" si="46"/>
        <v>Pomegranate</v>
      </c>
      <c r="B123" s="206">
        <f t="shared" si="52"/>
        <v>0.0</v>
      </c>
      <c r="C123" s="417">
        <f t="shared" si="51"/>
        <v>0.0</v>
      </c>
      <c r="D123" s="417">
        <f t="shared" si="51"/>
        <v>0.0</v>
      </c>
      <c r="E123" s="417">
        <f t="shared" si="51"/>
        <v>0.0</v>
      </c>
      <c r="F123" s="417">
        <f t="shared" si="51"/>
        <v>0.0</v>
      </c>
      <c r="G123" s="417">
        <f t="shared" si="51"/>
        <v>0.0</v>
      </c>
      <c r="H123" s="417">
        <f t="shared" si="51"/>
        <v>0.0</v>
      </c>
    </row>
    <row r="124" spans="8:8">
      <c r="A124" s="206" t="str">
        <f t="shared" si="46"/>
        <v>Custard Apple</v>
      </c>
      <c r="B124" s="206">
        <f t="shared" si="52"/>
        <v>0.0</v>
      </c>
      <c r="C124" s="417">
        <f t="shared" si="51"/>
        <v>0.0</v>
      </c>
      <c r="D124" s="417">
        <f t="shared" si="57" ref="D124">(C124/C$100)*D$100</f>
        <v>0.0</v>
      </c>
      <c r="E124" s="417">
        <f t="shared" si="58" ref="E124">(D124/D$100)*E$100</f>
        <v>0.0</v>
      </c>
      <c r="F124" s="417">
        <f t="shared" si="59" ref="F124">(E124/E$100)*F$100</f>
        <v>0.0</v>
      </c>
      <c r="G124" s="417">
        <f t="shared" si="60" ref="G124">(F124/F$100)*G$100</f>
        <v>0.0</v>
      </c>
      <c r="H124" s="417">
        <f t="shared" si="51"/>
        <v>0.0</v>
      </c>
    </row>
    <row r="125" spans="8:8">
      <c r="A125" s="206" t="str">
        <f t="shared" si="46"/>
        <v>Guava</v>
      </c>
      <c r="B125" s="206">
        <f t="shared" si="52"/>
        <v>0.0</v>
      </c>
      <c r="C125" s="417">
        <f t="shared" si="51"/>
        <v>0.0</v>
      </c>
      <c r="D125" s="417">
        <f t="shared" si="51"/>
        <v>0.0</v>
      </c>
      <c r="E125" s="417">
        <f t="shared" si="51"/>
        <v>0.0</v>
      </c>
      <c r="F125" s="417">
        <f t="shared" si="51"/>
        <v>0.0</v>
      </c>
      <c r="G125" s="417">
        <f t="shared" si="51"/>
        <v>0.0</v>
      </c>
      <c r="H125" s="417">
        <f t="shared" si="51"/>
        <v>0.0</v>
      </c>
    </row>
    <row r="126" spans="8:8">
      <c r="A126" s="206" t="str">
        <f t="shared" si="46"/>
        <v>Citrus</v>
      </c>
      <c r="B126" s="206">
        <f t="shared" si="52"/>
        <v>0.0</v>
      </c>
      <c r="C126" s="417">
        <f t="shared" si="51"/>
        <v>0.0</v>
      </c>
      <c r="D126" s="417">
        <f t="shared" si="51"/>
        <v>0.0</v>
      </c>
      <c r="E126" s="417">
        <f t="shared" si="51"/>
        <v>0.0</v>
      </c>
      <c r="F126" s="417">
        <f t="shared" si="51"/>
        <v>0.0</v>
      </c>
      <c r="G126" s="417">
        <f t="shared" si="51"/>
        <v>0.0</v>
      </c>
      <c r="H126" s="417">
        <f t="shared" si="51"/>
        <v>0.0</v>
      </c>
    </row>
    <row r="128" spans="8:8">
      <c r="C128" s="236"/>
      <c r="D128" s="308"/>
      <c r="E128" s="308"/>
      <c r="F128" s="308"/>
      <c r="G128" s="308"/>
      <c r="H128" s="308"/>
      <c r="I128" s="308"/>
    </row>
    <row r="129" spans="8:8">
      <c r="A129" t="s">
        <v>562</v>
      </c>
      <c r="C129" s="423"/>
      <c r="D129" s="423"/>
      <c r="E129" s="423"/>
      <c r="F129" s="423"/>
      <c r="G129" s="423"/>
      <c r="H129" s="423"/>
      <c r="I129" s="423"/>
    </row>
    <row r="130" spans="8:8">
      <c r="A130">
        <v>1.0</v>
      </c>
      <c r="B130" t="s">
        <v>563</v>
      </c>
    </row>
    <row r="131" spans="8:8">
      <c r="A131">
        <v>2.0</v>
      </c>
      <c r="B131" t="s">
        <v>564</v>
      </c>
    </row>
    <row r="132" spans="8:8">
      <c r="A132">
        <v>3.0</v>
      </c>
      <c r="B132" t="s">
        <v>565</v>
      </c>
    </row>
  </sheetData>
  <mergeCells count="13">
    <mergeCell ref="A1:H1"/>
    <mergeCell ref="A43:H43"/>
    <mergeCell ref="A3:B3"/>
    <mergeCell ref="A11:H11"/>
    <mergeCell ref="A14:A22"/>
    <mergeCell ref="A24:A31"/>
    <mergeCell ref="A37:A40"/>
    <mergeCell ref="A41:H41"/>
    <mergeCell ref="A44:A45"/>
    <mergeCell ref="A71:H71"/>
    <mergeCell ref="A72:A73"/>
    <mergeCell ref="A99:H99"/>
    <mergeCell ref="A100:A101"/>
  </mergeCells>
  <pageMargins left="0.7" right="0.7" top="0.75" bottom="0.75" header="0.3" footer="0.3"/>
  <pageSetup paperSize="9" scale="52"/>
</worksheet>
</file>

<file path=xl/worksheets/sheet13.xml><?xml version="1.0" encoding="utf-8"?>
<worksheet xmlns:r="http://schemas.openxmlformats.org/officeDocument/2006/relationships" xmlns="http://schemas.openxmlformats.org/spreadsheetml/2006/main">
  <dimension ref="A1:U313"/>
  <sheetViews>
    <sheetView workbookViewId="0" topLeftCell="A289" zoomScale="85">
      <selection activeCell="E297" sqref="E297:J297"/>
    </sheetView>
  </sheetViews>
  <sheetFormatPr defaultRowHeight="15.0" defaultColWidth="10"/>
  <cols>
    <col min="1" max="1" customWidth="1" width="36.0" style="0"/>
    <col min="2" max="2" customWidth="1" width="12.0" style="0"/>
    <col min="3" max="3" customWidth="1" bestFit="1" width="13.140625" style="0"/>
    <col min="4" max="4" customWidth="1" bestFit="1" width="12.855469" style="0"/>
    <col min="5" max="5" customWidth="1" bestFit="1" width="13.855469" style="0"/>
    <col min="6" max="7" customWidth="1" bestFit="1" width="14.0" style="0"/>
    <col min="8" max="10" customWidth="1" bestFit="1" width="13.855469" style="0"/>
    <col min="11" max="11" customWidth="1" bestFit="1" width="10.5703125" style="0"/>
    <col min="13" max="13" customWidth="1" bestFit="1" width="22.855469" style="0"/>
    <col min="14" max="14" customWidth="1" bestFit="1" width="12.855469" style="0"/>
  </cols>
  <sheetData>
    <row r="2" spans="8:8" ht="18.75">
      <c r="A2" s="30" t="s">
        <v>600</v>
      </c>
      <c r="B2" s="30"/>
      <c r="C2" s="30"/>
      <c r="D2" s="30"/>
      <c r="E2" s="30"/>
      <c r="F2" s="30"/>
      <c r="G2" s="30"/>
      <c r="H2" s="30"/>
    </row>
    <row r="3" spans="8:8" ht="18.75">
      <c r="A3" s="30" t="s">
        <v>601</v>
      </c>
      <c r="B3" s="30"/>
      <c r="C3" s="30"/>
      <c r="D3" s="30"/>
      <c r="E3" s="30"/>
      <c r="F3" s="30"/>
      <c r="G3" s="30"/>
      <c r="H3" s="30"/>
    </row>
    <row r="4" spans="8:8">
      <c r="B4" s="115"/>
      <c r="C4" s="115"/>
      <c r="D4" s="115"/>
      <c r="E4" s="115"/>
      <c r="F4" s="49" t="s">
        <v>488</v>
      </c>
      <c r="G4" s="49"/>
      <c r="H4" s="49"/>
    </row>
    <row r="5" spans="8:8">
      <c r="A5" s="115" t="s">
        <v>161</v>
      </c>
      <c r="B5" s="424">
        <v>10.0</v>
      </c>
      <c r="C5" s="115" t="s">
        <v>464</v>
      </c>
      <c r="D5" s="115"/>
      <c r="E5" s="115"/>
      <c r="F5" s="367" t="s">
        <v>489</v>
      </c>
      <c r="G5" s="367" t="s">
        <v>490</v>
      </c>
      <c r="H5" s="115"/>
    </row>
    <row r="6" spans="8:8">
      <c r="A6" s="115" t="s">
        <v>162</v>
      </c>
      <c r="B6" s="425">
        <v>8.0</v>
      </c>
      <c r="C6" s="115"/>
      <c r="D6" s="115"/>
      <c r="E6" s="115"/>
      <c r="F6" s="206" t="s">
        <v>486</v>
      </c>
      <c r="G6" s="426">
        <v>0.05</v>
      </c>
      <c r="H6" s="115"/>
    </row>
    <row r="7" spans="8:8" ht="30.0">
      <c r="A7" s="115"/>
      <c r="B7" s="115"/>
      <c r="C7" s="115"/>
      <c r="D7" s="115"/>
      <c r="E7" s="115"/>
      <c r="F7" s="427" t="s">
        <v>487</v>
      </c>
      <c r="G7" s="426">
        <v>0.05</v>
      </c>
      <c r="H7" s="115"/>
    </row>
    <row r="8" spans="8:8">
      <c r="A8" s="115" t="s">
        <v>535</v>
      </c>
      <c r="B8" s="115">
        <v>300.0</v>
      </c>
      <c r="C8" s="115"/>
      <c r="D8" s="115"/>
      <c r="E8" s="115"/>
      <c r="F8" s="206"/>
      <c r="G8" s="426"/>
      <c r="H8" s="115"/>
    </row>
    <row r="9" spans="8:8">
      <c r="A9" s="118" t="s">
        <v>0</v>
      </c>
      <c r="B9" s="119" t="s">
        <v>2</v>
      </c>
      <c r="C9" s="119" t="s">
        <v>3</v>
      </c>
      <c r="D9" s="119" t="s">
        <v>4</v>
      </c>
      <c r="E9" s="119" t="s">
        <v>5</v>
      </c>
      <c r="F9" s="119" t="s">
        <v>6</v>
      </c>
      <c r="G9" s="119" t="s">
        <v>169</v>
      </c>
      <c r="H9" s="119" t="s">
        <v>168</v>
      </c>
    </row>
    <row r="10" spans="8:8">
      <c r="A10" s="120" t="s">
        <v>463</v>
      </c>
      <c r="B10" s="428">
        <f>B33/($B$5*$B$6)</f>
        <v>203.78531249999997</v>
      </c>
      <c r="C10" s="428">
        <f t="shared" si="0" ref="C10:H10">C33/($B$5*$B$6)</f>
        <v>226.428125</v>
      </c>
      <c r="D10" s="428">
        <f t="shared" si="0"/>
        <v>249.07093750000004</v>
      </c>
      <c r="E10" s="428">
        <f t="shared" si="0"/>
        <v>271.71375</v>
      </c>
      <c r="F10" s="428">
        <f t="shared" si="0"/>
        <v>294.3565625</v>
      </c>
      <c r="G10" s="428">
        <f t="shared" si="0"/>
        <v>316.999375</v>
      </c>
      <c r="H10" s="428">
        <f t="shared" si="0"/>
        <v>339.6421875</v>
      </c>
    </row>
    <row r="11" spans="8:8">
      <c r="A11" s="429" t="str">
        <f>'10.Grain Production details'!A42</f>
        <v>Soybean</v>
      </c>
      <c r="B11" s="429">
        <f>'10.Grain Production details'!B42</f>
        <v>7622.1</v>
      </c>
      <c r="C11" s="429">
        <f>'10.Grain Production details'!C42</f>
        <v>8469.0</v>
      </c>
      <c r="D11" s="429">
        <f>'10.Grain Production details'!D42</f>
        <v>9315.900000000001</v>
      </c>
      <c r="E11" s="429">
        <f>'10.Grain Production details'!E42</f>
        <v>10162.800000000001</v>
      </c>
      <c r="F11" s="429">
        <f>'10.Grain Production details'!F42</f>
        <v>11009.7</v>
      </c>
      <c r="G11" s="429">
        <f>'10.Grain Production details'!G42</f>
        <v>11856.6</v>
      </c>
      <c r="H11" s="429">
        <f>'10.Grain Production details'!H42</f>
        <v>12703.5</v>
      </c>
    </row>
    <row r="12" spans="8:8">
      <c r="A12" s="429" t="str">
        <f>'10.Grain Production details'!A43</f>
        <v>Red Gram/Tur</v>
      </c>
      <c r="B12" s="429">
        <f>'10.Grain Production details'!B43</f>
        <v>0.0</v>
      </c>
      <c r="C12" s="429">
        <f>'10.Grain Production details'!C43</f>
        <v>0.0</v>
      </c>
      <c r="D12" s="429">
        <f>'10.Grain Production details'!D43</f>
        <v>0.0</v>
      </c>
      <c r="E12" s="429">
        <f>'10.Grain Production details'!E43</f>
        <v>0.0</v>
      </c>
      <c r="F12" s="429">
        <f>'10.Grain Production details'!F43</f>
        <v>0.0</v>
      </c>
      <c r="G12" s="429">
        <f>'10.Grain Production details'!G43</f>
        <v>0.0</v>
      </c>
      <c r="H12" s="429">
        <f>'10.Grain Production details'!H43</f>
        <v>0.0</v>
      </c>
    </row>
    <row r="13" spans="8:8">
      <c r="A13" s="429" t="str">
        <f>'10.Grain Production details'!A44</f>
        <v>Paddy/Rice</v>
      </c>
      <c r="B13" s="429">
        <f>'10.Grain Production details'!B44</f>
        <v>0.0</v>
      </c>
      <c r="C13" s="429">
        <f>'10.Grain Production details'!C44</f>
        <v>0.0</v>
      </c>
      <c r="D13" s="429">
        <f>'10.Grain Production details'!D44</f>
        <v>0.0</v>
      </c>
      <c r="E13" s="429">
        <f>'10.Grain Production details'!E44</f>
        <v>0.0</v>
      </c>
      <c r="F13" s="429">
        <f>'10.Grain Production details'!F44</f>
        <v>0.0</v>
      </c>
      <c r="G13" s="429">
        <f>'10.Grain Production details'!G44</f>
        <v>0.0</v>
      </c>
      <c r="H13" s="429">
        <f>'10.Grain Production details'!H44</f>
        <v>0.0</v>
      </c>
    </row>
    <row r="14" spans="8:8">
      <c r="A14" s="429" t="str">
        <f>'10.Grain Production details'!A45</f>
        <v>Green Gram/ Moong</v>
      </c>
      <c r="B14" s="429">
        <f>'10.Grain Production details'!B45</f>
        <v>0.0</v>
      </c>
      <c r="C14" s="429">
        <f>'10.Grain Production details'!C45</f>
        <v>0.0</v>
      </c>
      <c r="D14" s="429">
        <f>'10.Grain Production details'!D45</f>
        <v>0.0</v>
      </c>
      <c r="E14" s="429">
        <f>'10.Grain Production details'!E45</f>
        <v>0.0</v>
      </c>
      <c r="F14" s="429">
        <f>'10.Grain Production details'!F45</f>
        <v>0.0</v>
      </c>
      <c r="G14" s="429">
        <f>'10.Grain Production details'!G45</f>
        <v>0.0</v>
      </c>
      <c r="H14" s="429">
        <f>'10.Grain Production details'!H45</f>
        <v>0.0</v>
      </c>
    </row>
    <row r="15" spans="8:8">
      <c r="A15" s="429" t="str">
        <f>'10.Grain Production details'!A46</f>
        <v>Maize</v>
      </c>
      <c r="B15" s="429">
        <f>'10.Grain Production details'!B46</f>
        <v>0.0</v>
      </c>
      <c r="C15" s="429">
        <f>'10.Grain Production details'!C46</f>
        <v>0.0</v>
      </c>
      <c r="D15" s="429">
        <f>'10.Grain Production details'!D46</f>
        <v>0.0</v>
      </c>
      <c r="E15" s="429">
        <f>'10.Grain Production details'!E46</f>
        <v>0.0</v>
      </c>
      <c r="F15" s="429">
        <f>'10.Grain Production details'!F46</f>
        <v>0.0</v>
      </c>
      <c r="G15" s="429">
        <f>'10.Grain Production details'!G46</f>
        <v>0.0</v>
      </c>
      <c r="H15" s="429">
        <f>'10.Grain Production details'!H46</f>
        <v>0.0</v>
      </c>
    </row>
    <row r="16" spans="8:8">
      <c r="A16" s="429" t="str">
        <f>'10.Grain Production details'!A47</f>
        <v>Black Gram/Udid</v>
      </c>
      <c r="B16" s="429">
        <f>'10.Grain Production details'!B47</f>
        <v>0.0</v>
      </c>
      <c r="C16" s="429">
        <f>'10.Grain Production details'!C47</f>
        <v>0.0</v>
      </c>
      <c r="D16" s="429">
        <f>'10.Grain Production details'!D47</f>
        <v>0.0</v>
      </c>
      <c r="E16" s="429">
        <f>'10.Grain Production details'!E47</f>
        <v>0.0</v>
      </c>
      <c r="F16" s="429">
        <f>'10.Grain Production details'!F47</f>
        <v>0.0</v>
      </c>
      <c r="G16" s="429">
        <f>'10.Grain Production details'!G47</f>
        <v>0.0</v>
      </c>
      <c r="H16" s="429">
        <f>'10.Grain Production details'!H47</f>
        <v>0.0</v>
      </c>
    </row>
    <row r="17" spans="8:8">
      <c r="A17" s="429" t="str">
        <f>'10.Grain Production details'!A48</f>
        <v>Bajra</v>
      </c>
      <c r="B17" s="429">
        <f>'10.Grain Production details'!B48</f>
        <v>0.0</v>
      </c>
      <c r="C17" s="429">
        <f>'10.Grain Production details'!C48</f>
        <v>0.0</v>
      </c>
      <c r="D17" s="429">
        <f>'10.Grain Production details'!D48</f>
        <v>0.0</v>
      </c>
      <c r="E17" s="429">
        <f>'10.Grain Production details'!E48</f>
        <v>0.0</v>
      </c>
      <c r="F17" s="429">
        <f>'10.Grain Production details'!F48</f>
        <v>0.0</v>
      </c>
      <c r="G17" s="429">
        <f>'10.Grain Production details'!G48</f>
        <v>0.0</v>
      </c>
      <c r="H17" s="429">
        <f>'10.Grain Production details'!H48</f>
        <v>0.0</v>
      </c>
    </row>
    <row r="18" spans="8:8">
      <c r="A18" s="429" t="str">
        <f>'10.Grain Production details'!A49</f>
        <v>Jawar</v>
      </c>
      <c r="B18" s="429">
        <f>'10.Grain Production details'!B49</f>
        <v>0.0</v>
      </c>
      <c r="C18" s="429">
        <f>'10.Grain Production details'!C49</f>
        <v>0.0</v>
      </c>
      <c r="D18" s="429">
        <f>'10.Grain Production details'!D49</f>
        <v>0.0</v>
      </c>
      <c r="E18" s="429">
        <f>'10.Grain Production details'!E49</f>
        <v>0.0</v>
      </c>
      <c r="F18" s="429">
        <f>'10.Grain Production details'!F49</f>
        <v>0.0</v>
      </c>
      <c r="G18" s="429">
        <f>'10.Grain Production details'!G49</f>
        <v>0.0</v>
      </c>
      <c r="H18" s="429">
        <f>'10.Grain Production details'!H49</f>
        <v>0.0</v>
      </c>
    </row>
    <row r="19" spans="8:8">
      <c r="A19" s="429" t="str">
        <f>'10.Grain Production details'!A50</f>
        <v>Sunflower</v>
      </c>
      <c r="B19" s="429">
        <f>'10.Grain Production details'!B50</f>
        <v>0.0</v>
      </c>
      <c r="C19" s="429">
        <f>'10.Grain Production details'!C50</f>
        <v>0.0</v>
      </c>
      <c r="D19" s="429">
        <f>'10.Grain Production details'!D50</f>
        <v>0.0</v>
      </c>
      <c r="E19" s="429">
        <f>'10.Grain Production details'!E50</f>
        <v>0.0</v>
      </c>
      <c r="F19" s="429">
        <f>'10.Grain Production details'!F50</f>
        <v>0.0</v>
      </c>
      <c r="G19" s="429">
        <f>'10.Grain Production details'!G50</f>
        <v>0.0</v>
      </c>
      <c r="H19" s="429">
        <f>'10.Grain Production details'!H50</f>
        <v>0.0</v>
      </c>
    </row>
    <row r="20" spans="8:8">
      <c r="A20" s="429" t="str">
        <f>'10.Grain Production details'!A51</f>
        <v>Wheat</v>
      </c>
      <c r="B20" s="429">
        <f>'10.Grain Production details'!B51</f>
        <v>0.0</v>
      </c>
      <c r="C20" s="429">
        <f>'10.Grain Production details'!C51</f>
        <v>0.0</v>
      </c>
      <c r="D20" s="429">
        <f>'10.Grain Production details'!D51</f>
        <v>0.0</v>
      </c>
      <c r="E20" s="429">
        <f>'10.Grain Production details'!E51</f>
        <v>0.0</v>
      </c>
      <c r="F20" s="429">
        <f>'10.Grain Production details'!F51</f>
        <v>0.0</v>
      </c>
      <c r="G20" s="429">
        <f>'10.Grain Production details'!G51</f>
        <v>0.0</v>
      </c>
      <c r="H20" s="429">
        <f>'10.Grain Production details'!H51</f>
        <v>0.0</v>
      </c>
    </row>
    <row r="21" spans="8:8">
      <c r="A21" s="429" t="str">
        <f>'10.Grain Production details'!A52</f>
        <v>Bengal Gram/Channa</v>
      </c>
      <c r="B21" s="429">
        <f>'10.Grain Production details'!B52</f>
        <v>5716.575</v>
      </c>
      <c r="C21" s="429">
        <f>'10.Grain Production details'!C52</f>
        <v>6351.75</v>
      </c>
      <c r="D21" s="429">
        <f>'10.Grain Production details'!D52</f>
        <v>6986.925</v>
      </c>
      <c r="E21" s="429">
        <f>'10.Grain Production details'!E52</f>
        <v>7622.100000000001</v>
      </c>
      <c r="F21" s="429">
        <f>'10.Grain Production details'!F52</f>
        <v>8257.275</v>
      </c>
      <c r="G21" s="429">
        <f>'10.Grain Production details'!G52</f>
        <v>8892.449999999999</v>
      </c>
      <c r="H21" s="429">
        <f>'10.Grain Production details'!H52</f>
        <v>9527.624999999996</v>
      </c>
    </row>
    <row r="22" spans="8:8">
      <c r="A22" s="429" t="str">
        <f>'10.Grain Production details'!A53</f>
        <v>Jawar</v>
      </c>
      <c r="B22" s="429">
        <f>'10.Grain Production details'!B53</f>
        <v>2964.15</v>
      </c>
      <c r="C22" s="429">
        <f>'10.Grain Production details'!C53</f>
        <v>3293.5</v>
      </c>
      <c r="D22" s="429">
        <f>'10.Grain Production details'!D53</f>
        <v>3622.8500000000004</v>
      </c>
      <c r="E22" s="429">
        <f>'10.Grain Production details'!E53</f>
        <v>3952.2000000000007</v>
      </c>
      <c r="F22" s="429">
        <f>'10.Grain Production details'!F53</f>
        <v>4281.55</v>
      </c>
      <c r="G22" s="429">
        <f>'10.Grain Production details'!G53</f>
        <v>4610.900000000001</v>
      </c>
      <c r="H22" s="429">
        <f>'10.Grain Production details'!H53</f>
        <v>4940.25</v>
      </c>
    </row>
    <row r="23" spans="8:8">
      <c r="A23" s="429" t="str">
        <f>'10.Grain Production details'!A54</f>
        <v>Maize</v>
      </c>
      <c r="B23" s="429">
        <f>'10.Grain Production details'!B54</f>
        <v>0.0</v>
      </c>
      <c r="C23" s="429">
        <f>'10.Grain Production details'!C54</f>
        <v>0.0</v>
      </c>
      <c r="D23" s="429">
        <f>'10.Grain Production details'!D54</f>
        <v>0.0</v>
      </c>
      <c r="E23" s="429">
        <f>'10.Grain Production details'!E54</f>
        <v>0.0</v>
      </c>
      <c r="F23" s="429">
        <f>'10.Grain Production details'!F54</f>
        <v>0.0</v>
      </c>
      <c r="G23" s="429">
        <f>'10.Grain Production details'!G54</f>
        <v>0.0</v>
      </c>
      <c r="H23" s="429">
        <f>'10.Grain Production details'!H54</f>
        <v>0.0</v>
      </c>
    </row>
    <row r="24" spans="8:8">
      <c r="A24" s="429" t="str">
        <f>'10.Grain Production details'!A55</f>
        <v>Safflower</v>
      </c>
      <c r="B24" s="429">
        <f>'10.Grain Production details'!B55</f>
        <v>0.0</v>
      </c>
      <c r="C24" s="429">
        <f>'10.Grain Production details'!C55</f>
        <v>0.0</v>
      </c>
      <c r="D24" s="429">
        <f>'10.Grain Production details'!D55</f>
        <v>0.0</v>
      </c>
      <c r="E24" s="429">
        <f>'10.Grain Production details'!E55</f>
        <v>0.0</v>
      </c>
      <c r="F24" s="429">
        <f>'10.Grain Production details'!F55</f>
        <v>0.0</v>
      </c>
      <c r="G24" s="429">
        <f>'10.Grain Production details'!G55</f>
        <v>0.0</v>
      </c>
      <c r="H24" s="429">
        <f>'10.Grain Production details'!H55</f>
        <v>0.0</v>
      </c>
    </row>
    <row r="25" spans="8:8">
      <c r="A25" s="429">
        <f>'10.Grain Production details'!A56</f>
        <v>0.0</v>
      </c>
      <c r="B25" s="429">
        <f>'10.Grain Production details'!B56</f>
        <v>0.0</v>
      </c>
      <c r="C25" s="429">
        <f>'10.Grain Production details'!C56</f>
        <v>0.0</v>
      </c>
      <c r="D25" s="429">
        <f>'10.Grain Production details'!D56</f>
        <v>0.0</v>
      </c>
      <c r="E25" s="429">
        <f>'10.Grain Production details'!E56</f>
        <v>0.0</v>
      </c>
      <c r="F25" s="429">
        <f>'10.Grain Production details'!F56</f>
        <v>0.0</v>
      </c>
      <c r="G25" s="429">
        <f>'10.Grain Production details'!G56</f>
        <v>0.0</v>
      </c>
      <c r="H25" s="429">
        <f>'10.Grain Production details'!H56</f>
        <v>0.0</v>
      </c>
    </row>
    <row r="26" spans="8:8">
      <c r="A26" s="429">
        <f>'10.Grain Production details'!A57</f>
        <v>0.0</v>
      </c>
      <c r="B26" s="429">
        <f>'10.Grain Production details'!B57</f>
        <v>0.0</v>
      </c>
      <c r="C26" s="429">
        <f>'10.Grain Production details'!C57</f>
        <v>0.0</v>
      </c>
      <c r="D26" s="429">
        <f>'10.Grain Production details'!D57</f>
        <v>0.0</v>
      </c>
      <c r="E26" s="429">
        <f>'10.Grain Production details'!E57</f>
        <v>0.0</v>
      </c>
      <c r="F26" s="429">
        <f>'10.Grain Production details'!F57</f>
        <v>0.0</v>
      </c>
      <c r="G26" s="429">
        <f>'10.Grain Production details'!G57</f>
        <v>0.0</v>
      </c>
      <c r="H26" s="429">
        <f>'10.Grain Production details'!H57</f>
        <v>0.0</v>
      </c>
    </row>
    <row r="27" spans="8:8">
      <c r="A27" s="429">
        <f>'10.Grain Production details'!A58</f>
        <v>0.0</v>
      </c>
      <c r="B27" s="429">
        <f>'10.Grain Production details'!B58</f>
        <v>0.0</v>
      </c>
      <c r="C27" s="429">
        <f>'10.Grain Production details'!C58</f>
        <v>0.0</v>
      </c>
      <c r="D27" s="429">
        <f>'10.Grain Production details'!D58</f>
        <v>0.0</v>
      </c>
      <c r="E27" s="429">
        <f>'10.Grain Production details'!E58</f>
        <v>0.0</v>
      </c>
      <c r="F27" s="429">
        <f>'10.Grain Production details'!F58</f>
        <v>0.0</v>
      </c>
      <c r="G27" s="429">
        <f>'10.Grain Production details'!G58</f>
        <v>0.0</v>
      </c>
      <c r="H27" s="429">
        <f>'10.Grain Production details'!H58</f>
        <v>0.0</v>
      </c>
    </row>
    <row r="28" spans="8:8">
      <c r="A28" s="429" t="str">
        <f>'10.Grain Production details'!A59</f>
        <v>Groundnut</v>
      </c>
      <c r="B28" s="429">
        <f>'10.Grain Production details'!B59</f>
        <v>0.0</v>
      </c>
      <c r="C28" s="429">
        <f>'10.Grain Production details'!C59</f>
        <v>0.0</v>
      </c>
      <c r="D28" s="429">
        <f>'10.Grain Production details'!D59</f>
        <v>0.0</v>
      </c>
      <c r="E28" s="429">
        <f>'10.Grain Production details'!E59</f>
        <v>0.0</v>
      </c>
      <c r="F28" s="429">
        <f>'10.Grain Production details'!F59</f>
        <v>0.0</v>
      </c>
      <c r="G28" s="429">
        <f>'10.Grain Production details'!G59</f>
        <v>0.0</v>
      </c>
      <c r="H28" s="429">
        <f>'10.Grain Production details'!H59</f>
        <v>0.0</v>
      </c>
    </row>
    <row r="29" spans="8:8">
      <c r="A29" s="429">
        <f>'10.Grain Production details'!A60</f>
        <v>0.0</v>
      </c>
      <c r="B29" s="429">
        <f>'10.Grain Production details'!B60</f>
        <v>0.0</v>
      </c>
      <c r="C29" s="429">
        <f>'10.Grain Production details'!C60</f>
        <v>0.0</v>
      </c>
      <c r="D29" s="429">
        <f>'10.Grain Production details'!D60</f>
        <v>0.0</v>
      </c>
      <c r="E29" s="429">
        <f>'10.Grain Production details'!E60</f>
        <v>0.0</v>
      </c>
      <c r="F29" s="429">
        <f>'10.Grain Production details'!F60</f>
        <v>0.0</v>
      </c>
      <c r="G29" s="429">
        <f>'10.Grain Production details'!G60</f>
        <v>0.0</v>
      </c>
      <c r="H29" s="429">
        <f>'10.Grain Production details'!H60</f>
        <v>0.0</v>
      </c>
    </row>
    <row r="30" spans="8:8">
      <c r="A30" s="429">
        <f>'10.Grain Production details'!A61</f>
        <v>0.0</v>
      </c>
      <c r="B30" s="429">
        <f>'10.Grain Production details'!B61</f>
        <v>0.0</v>
      </c>
      <c r="C30" s="429">
        <f>'10.Grain Production details'!C61</f>
        <v>0.0</v>
      </c>
      <c r="D30" s="429">
        <f>'10.Grain Production details'!D61</f>
        <v>0.0</v>
      </c>
      <c r="E30" s="429">
        <f>'10.Grain Production details'!E61</f>
        <v>0.0</v>
      </c>
      <c r="F30" s="429">
        <f>'10.Grain Production details'!F61</f>
        <v>0.0</v>
      </c>
      <c r="G30" s="429">
        <f>'10.Grain Production details'!G61</f>
        <v>0.0</v>
      </c>
      <c r="H30" s="429">
        <f>'10.Grain Production details'!H61</f>
        <v>0.0</v>
      </c>
    </row>
    <row r="31" spans="8:8">
      <c r="A31" s="429">
        <f>'10.Grain Production details'!A62</f>
        <v>0.0</v>
      </c>
      <c r="B31" s="429">
        <f>'10.Grain Production details'!B62</f>
        <v>0.0</v>
      </c>
      <c r="C31" s="429">
        <f>'10.Grain Production details'!C62</f>
        <v>0.0</v>
      </c>
      <c r="D31" s="429">
        <f>'10.Grain Production details'!D62</f>
        <v>0.0</v>
      </c>
      <c r="E31" s="429">
        <f>'10.Grain Production details'!E62</f>
        <v>0.0</v>
      </c>
      <c r="F31" s="429">
        <f>'10.Grain Production details'!F62</f>
        <v>0.0</v>
      </c>
      <c r="G31" s="429">
        <f>'10.Grain Production details'!G62</f>
        <v>0.0</v>
      </c>
      <c r="H31" s="429">
        <f>'10.Grain Production details'!H62</f>
        <v>0.0</v>
      </c>
    </row>
    <row r="32" spans="8:8">
      <c r="A32" s="429">
        <f>'10.Grain Production details'!B63</f>
        <v>0.0</v>
      </c>
      <c r="B32" s="429">
        <f>'10.Grain Production details'!C63</f>
        <v>0.0</v>
      </c>
      <c r="C32" s="429">
        <f>'10.Grain Production details'!D63</f>
        <v>0.0</v>
      </c>
      <c r="D32" s="429">
        <f>'10.Grain Production details'!E63</f>
        <v>0.0</v>
      </c>
      <c r="E32" s="429">
        <f>'10.Grain Production details'!F63</f>
        <v>0.0</v>
      </c>
      <c r="F32" s="429">
        <f>'10.Grain Production details'!G63</f>
        <v>0.0</v>
      </c>
      <c r="G32" s="429">
        <f>'10.Grain Production details'!H63</f>
        <v>0.0</v>
      </c>
      <c r="H32" s="429">
        <f>'10.Grain Production details'!I63</f>
        <v>0.0</v>
      </c>
    </row>
    <row r="33" spans="8:8">
      <c r="A33" s="123" t="s">
        <v>532</v>
      </c>
      <c r="B33" s="429">
        <f t="shared" si="1" ref="B33:H33">SUM(B11:B32)</f>
        <v>16302.824999999999</v>
      </c>
      <c r="C33" s="429">
        <f t="shared" si="1"/>
        <v>18114.25</v>
      </c>
      <c r="D33" s="429">
        <f t="shared" si="1"/>
        <v>19925.675000000003</v>
      </c>
      <c r="E33" s="429">
        <f t="shared" si="1"/>
        <v>21737.100000000002</v>
      </c>
      <c r="F33" s="429">
        <f t="shared" si="1"/>
        <v>23548.524999999998</v>
      </c>
      <c r="G33" s="429">
        <f t="shared" si="1"/>
        <v>25359.95</v>
      </c>
      <c r="H33" s="429">
        <f t="shared" si="1"/>
        <v>27171.374999999996</v>
      </c>
    </row>
    <row r="34" spans="8:8">
      <c r="A34" s="429" t="str">
        <f>'11.F&amp;V Crop Production details'!A1:H1</f>
        <v>Fruit  &amp; Vegetables Crop Production Details</v>
      </c>
      <c r="B34" s="429"/>
      <c r="C34" s="429"/>
      <c r="D34" s="429"/>
      <c r="E34" s="429"/>
      <c r="F34" s="429"/>
      <c r="G34" s="429"/>
      <c r="H34" s="429"/>
    </row>
    <row r="35" spans="8:8">
      <c r="A35" s="429" t="str">
        <f>'11.F&amp;V Crop Production details'!A46</f>
        <v>Onion</v>
      </c>
      <c r="B35" s="429">
        <f>'11.F&amp;V Crop Production details'!B46</f>
        <v>0.0</v>
      </c>
      <c r="C35" s="429">
        <f>'11.F&amp;V Crop Production details'!C46</f>
        <v>0.0</v>
      </c>
      <c r="D35" s="429">
        <f>'11.F&amp;V Crop Production details'!D46</f>
        <v>0.0</v>
      </c>
      <c r="E35" s="429">
        <f>'11.F&amp;V Crop Production details'!E46</f>
        <v>0.0</v>
      </c>
      <c r="F35" s="429">
        <f>'11.F&amp;V Crop Production details'!F46</f>
        <v>0.0</v>
      </c>
      <c r="G35" s="429">
        <f>'11.F&amp;V Crop Production details'!G46</f>
        <v>0.0</v>
      </c>
      <c r="H35" s="429">
        <f>'11.F&amp;V Crop Production details'!H46</f>
        <v>0.0</v>
      </c>
    </row>
    <row r="36" spans="8:8">
      <c r="A36" s="429" t="str">
        <f>'11.F&amp;V Crop Production details'!A47</f>
        <v>Tomato</v>
      </c>
      <c r="B36" s="429">
        <f>'11.F&amp;V Crop Production details'!B47</f>
        <v>0.0</v>
      </c>
      <c r="C36" s="429">
        <f>'11.F&amp;V Crop Production details'!C47</f>
        <v>0.0</v>
      </c>
      <c r="D36" s="429">
        <f>'11.F&amp;V Crop Production details'!D47</f>
        <v>0.0</v>
      </c>
      <c r="E36" s="429">
        <f>'11.F&amp;V Crop Production details'!E47</f>
        <v>0.0</v>
      </c>
      <c r="F36" s="429">
        <f>'11.F&amp;V Crop Production details'!F47</f>
        <v>0.0</v>
      </c>
      <c r="G36" s="429">
        <f>'11.F&amp;V Crop Production details'!G47</f>
        <v>0.0</v>
      </c>
      <c r="H36" s="429">
        <f>'11.F&amp;V Crop Production details'!H47</f>
        <v>0.0</v>
      </c>
    </row>
    <row r="37" spans="8:8">
      <c r="A37" s="429" t="str">
        <f>'11.F&amp;V Crop Production details'!A48</f>
        <v>Okra</v>
      </c>
      <c r="B37" s="429">
        <f>'11.F&amp;V Crop Production details'!B48</f>
        <v>0.0</v>
      </c>
      <c r="C37" s="429">
        <f>'11.F&amp;V Crop Production details'!C48</f>
        <v>0.0</v>
      </c>
      <c r="D37" s="429">
        <f>'11.F&amp;V Crop Production details'!D48</f>
        <v>0.0</v>
      </c>
      <c r="E37" s="429">
        <f>'11.F&amp;V Crop Production details'!E48</f>
        <v>0.0</v>
      </c>
      <c r="F37" s="429">
        <f>'11.F&amp;V Crop Production details'!F48</f>
        <v>0.0</v>
      </c>
      <c r="G37" s="429">
        <f>'11.F&amp;V Crop Production details'!G48</f>
        <v>0.0</v>
      </c>
      <c r="H37" s="429">
        <f>'11.F&amp;V Crop Production details'!H48</f>
        <v>0.0</v>
      </c>
    </row>
    <row r="38" spans="8:8">
      <c r="A38" s="429" t="str">
        <f>'11.F&amp;V Crop Production details'!A49</f>
        <v>Chilli</v>
      </c>
      <c r="B38" s="429">
        <f>'11.F&amp;V Crop Production details'!B49</f>
        <v>0.0</v>
      </c>
      <c r="C38" s="429">
        <f>'11.F&amp;V Crop Production details'!C49</f>
        <v>0.0</v>
      </c>
      <c r="D38" s="429">
        <f>'11.F&amp;V Crop Production details'!D49</f>
        <v>0.0</v>
      </c>
      <c r="E38" s="429">
        <f>'11.F&amp;V Crop Production details'!E49</f>
        <v>0.0</v>
      </c>
      <c r="F38" s="429">
        <f>'11.F&amp;V Crop Production details'!F49</f>
        <v>0.0</v>
      </c>
      <c r="G38" s="429">
        <f>'11.F&amp;V Crop Production details'!G49</f>
        <v>0.0</v>
      </c>
      <c r="H38" s="429">
        <f>'11.F&amp;V Crop Production details'!H49</f>
        <v>0.0</v>
      </c>
    </row>
    <row r="39" spans="8:8">
      <c r="A39" s="429" t="str">
        <f>'11.F&amp;V Crop Production details'!A50</f>
        <v>Potato</v>
      </c>
      <c r="B39" s="429">
        <f>'11.F&amp;V Crop Production details'!B50</f>
        <v>0.0</v>
      </c>
      <c r="C39" s="429">
        <f>'11.F&amp;V Crop Production details'!C50</f>
        <v>0.0</v>
      </c>
      <c r="D39" s="429">
        <f>'11.F&amp;V Crop Production details'!D50</f>
        <v>0.0</v>
      </c>
      <c r="E39" s="429">
        <f>'11.F&amp;V Crop Production details'!E50</f>
        <v>0.0</v>
      </c>
      <c r="F39" s="429">
        <f>'11.F&amp;V Crop Production details'!F50</f>
        <v>0.0</v>
      </c>
      <c r="G39" s="429">
        <f>'11.F&amp;V Crop Production details'!G50</f>
        <v>0.0</v>
      </c>
      <c r="H39" s="429">
        <f>'11.F&amp;V Crop Production details'!H50</f>
        <v>0.0</v>
      </c>
    </row>
    <row r="40" spans="8:8">
      <c r="A40" s="429">
        <f>'11.F&amp;V Crop Production details'!A51</f>
        <v>0.0</v>
      </c>
      <c r="B40" s="429">
        <f>'11.F&amp;V Crop Production details'!B51</f>
        <v>0.0</v>
      </c>
      <c r="C40" s="429">
        <f>'11.F&amp;V Crop Production details'!C51</f>
        <v>0.0</v>
      </c>
      <c r="D40" s="429">
        <f>'11.F&amp;V Crop Production details'!D51</f>
        <v>0.0</v>
      </c>
      <c r="E40" s="429">
        <f>'11.F&amp;V Crop Production details'!E51</f>
        <v>0.0</v>
      </c>
      <c r="F40" s="429">
        <f>'11.F&amp;V Crop Production details'!F51</f>
        <v>0.0</v>
      </c>
      <c r="G40" s="429">
        <f>'11.F&amp;V Crop Production details'!G51</f>
        <v>0.0</v>
      </c>
      <c r="H40" s="429">
        <f>'11.F&amp;V Crop Production details'!H51</f>
        <v>0.0</v>
      </c>
    </row>
    <row r="41" spans="8:8">
      <c r="A41" s="429">
        <f>'11.F&amp;V Crop Production details'!A52</f>
        <v>0.0</v>
      </c>
      <c r="B41" s="429">
        <f>'11.F&amp;V Crop Production details'!B52</f>
        <v>0.0</v>
      </c>
      <c r="C41" s="429">
        <f>'11.F&amp;V Crop Production details'!C52</f>
        <v>0.0</v>
      </c>
      <c r="D41" s="429">
        <f>'11.F&amp;V Crop Production details'!D52</f>
        <v>0.0</v>
      </c>
      <c r="E41" s="429">
        <f>'11.F&amp;V Crop Production details'!E52</f>
        <v>0.0</v>
      </c>
      <c r="F41" s="429">
        <f>'11.F&amp;V Crop Production details'!F52</f>
        <v>0.0</v>
      </c>
      <c r="G41" s="429">
        <f>'11.F&amp;V Crop Production details'!G52</f>
        <v>0.0</v>
      </c>
      <c r="H41" s="429">
        <f>'11.F&amp;V Crop Production details'!H52</f>
        <v>0.0</v>
      </c>
    </row>
    <row r="42" spans="8:8">
      <c r="A42" s="429">
        <f>'11.F&amp;V Crop Production details'!A53</f>
        <v>0.0</v>
      </c>
      <c r="B42" s="429">
        <f>'11.F&amp;V Crop Production details'!B53</f>
        <v>0.0</v>
      </c>
      <c r="C42" s="429">
        <f>'11.F&amp;V Crop Production details'!C53</f>
        <v>0.0</v>
      </c>
      <c r="D42" s="429">
        <f>'11.F&amp;V Crop Production details'!D53</f>
        <v>0.0</v>
      </c>
      <c r="E42" s="429">
        <f>'11.F&amp;V Crop Production details'!E53</f>
        <v>0.0</v>
      </c>
      <c r="F42" s="429">
        <f>'11.F&amp;V Crop Production details'!F53</f>
        <v>0.0</v>
      </c>
      <c r="G42" s="429">
        <f>'11.F&amp;V Crop Production details'!G53</f>
        <v>0.0</v>
      </c>
      <c r="H42" s="429">
        <f>'11.F&amp;V Crop Production details'!H53</f>
        <v>0.0</v>
      </c>
    </row>
    <row r="43" spans="8:8">
      <c r="A43" s="429">
        <f>'11.F&amp;V Crop Production details'!A54</f>
        <v>0.0</v>
      </c>
      <c r="B43" s="429">
        <f>'11.F&amp;V Crop Production details'!B54</f>
        <v>0.0</v>
      </c>
      <c r="C43" s="429">
        <f>'11.F&amp;V Crop Production details'!C54</f>
        <v>0.0</v>
      </c>
      <c r="D43" s="429">
        <f>'11.F&amp;V Crop Production details'!D54</f>
        <v>0.0</v>
      </c>
      <c r="E43" s="429">
        <f>'11.F&amp;V Crop Production details'!E54</f>
        <v>0.0</v>
      </c>
      <c r="F43" s="429">
        <f>'11.F&amp;V Crop Production details'!F54</f>
        <v>0.0</v>
      </c>
      <c r="G43" s="429">
        <f>'11.F&amp;V Crop Production details'!G54</f>
        <v>0.0</v>
      </c>
      <c r="H43" s="429">
        <f>'11.F&amp;V Crop Production details'!H54</f>
        <v>0.0</v>
      </c>
    </row>
    <row r="44" spans="8:8">
      <c r="A44" s="429" t="str">
        <f>'11.F&amp;V Crop Production details'!A55</f>
        <v>Onion</v>
      </c>
      <c r="B44" s="429">
        <f>'11.F&amp;V Crop Production details'!B55</f>
        <v>0.0</v>
      </c>
      <c r="C44" s="429">
        <f>'11.F&amp;V Crop Production details'!C55</f>
        <v>0.0</v>
      </c>
      <c r="D44" s="429">
        <f>'11.F&amp;V Crop Production details'!D55</f>
        <v>0.0</v>
      </c>
      <c r="E44" s="429">
        <f>'11.F&amp;V Crop Production details'!E55</f>
        <v>0.0</v>
      </c>
      <c r="F44" s="429">
        <f>'11.F&amp;V Crop Production details'!F55</f>
        <v>0.0</v>
      </c>
      <c r="G44" s="429">
        <f>'11.F&amp;V Crop Production details'!G55</f>
        <v>0.0</v>
      </c>
      <c r="H44" s="429">
        <f>'11.F&amp;V Crop Production details'!H55</f>
        <v>0.0</v>
      </c>
    </row>
    <row r="45" spans="8:8">
      <c r="A45" s="429" t="str">
        <f>'11.F&amp;V Crop Production details'!A56</f>
        <v>Tomato</v>
      </c>
      <c r="B45" s="429">
        <f>'11.F&amp;V Crop Production details'!B56</f>
        <v>0.0</v>
      </c>
      <c r="C45" s="429">
        <f>'11.F&amp;V Crop Production details'!C56</f>
        <v>0.0</v>
      </c>
      <c r="D45" s="429">
        <f>'11.F&amp;V Crop Production details'!D56</f>
        <v>0.0</v>
      </c>
      <c r="E45" s="429">
        <f>'11.F&amp;V Crop Production details'!E56</f>
        <v>0.0</v>
      </c>
      <c r="F45" s="429">
        <f>'11.F&amp;V Crop Production details'!F56</f>
        <v>0.0</v>
      </c>
      <c r="G45" s="429">
        <f>'11.F&amp;V Crop Production details'!G56</f>
        <v>0.0</v>
      </c>
      <c r="H45" s="429">
        <f>'11.F&amp;V Crop Production details'!H56</f>
        <v>0.0</v>
      </c>
    </row>
    <row r="46" spans="8:8">
      <c r="A46" s="429" t="str">
        <f>'11.F&amp;V Crop Production details'!A57</f>
        <v>Okra</v>
      </c>
      <c r="B46" s="429">
        <f>'11.F&amp;V Crop Production details'!B57</f>
        <v>0.0</v>
      </c>
      <c r="C46" s="429">
        <f>'11.F&amp;V Crop Production details'!C57</f>
        <v>0.0</v>
      </c>
      <c r="D46" s="429">
        <f>'11.F&amp;V Crop Production details'!D57</f>
        <v>0.0</v>
      </c>
      <c r="E46" s="429">
        <f>'11.F&amp;V Crop Production details'!E57</f>
        <v>0.0</v>
      </c>
      <c r="F46" s="429">
        <f>'11.F&amp;V Crop Production details'!F57</f>
        <v>0.0</v>
      </c>
      <c r="G46" s="429">
        <f>'11.F&amp;V Crop Production details'!G57</f>
        <v>0.0</v>
      </c>
      <c r="H46" s="429">
        <f>'11.F&amp;V Crop Production details'!H57</f>
        <v>0.0</v>
      </c>
    </row>
    <row r="47" spans="8:8">
      <c r="A47" s="429" t="str">
        <f>'11.F&amp;V Crop Production details'!A58</f>
        <v>Chilli</v>
      </c>
      <c r="B47" s="429">
        <f>'11.F&amp;V Crop Production details'!B58</f>
        <v>0.0</v>
      </c>
      <c r="C47" s="429">
        <f>'11.F&amp;V Crop Production details'!C58</f>
        <v>0.0</v>
      </c>
      <c r="D47" s="429">
        <f>'11.F&amp;V Crop Production details'!D58</f>
        <v>0.0</v>
      </c>
      <c r="E47" s="429">
        <f>'11.F&amp;V Crop Production details'!E58</f>
        <v>0.0</v>
      </c>
      <c r="F47" s="429">
        <f>'11.F&amp;V Crop Production details'!F58</f>
        <v>0.0</v>
      </c>
      <c r="G47" s="429">
        <f>'11.F&amp;V Crop Production details'!G58</f>
        <v>0.0</v>
      </c>
      <c r="H47" s="429">
        <f>'11.F&amp;V Crop Production details'!H58</f>
        <v>0.0</v>
      </c>
    </row>
    <row r="48" spans="8:8">
      <c r="A48" s="429" t="str">
        <f>'11.F&amp;V Crop Production details'!A59</f>
        <v>Brinjal</v>
      </c>
      <c r="B48" s="429">
        <f>'11.F&amp;V Crop Production details'!B59</f>
        <v>0.0</v>
      </c>
      <c r="C48" s="429">
        <f>'11.F&amp;V Crop Production details'!C59</f>
        <v>0.0</v>
      </c>
      <c r="D48" s="429">
        <f>'11.F&amp;V Crop Production details'!D59</f>
        <v>0.0</v>
      </c>
      <c r="E48" s="429">
        <f>'11.F&amp;V Crop Production details'!E59</f>
        <v>0.0</v>
      </c>
      <c r="F48" s="429">
        <f>'11.F&amp;V Crop Production details'!F59</f>
        <v>0.0</v>
      </c>
      <c r="G48" s="429">
        <f>'11.F&amp;V Crop Production details'!G59</f>
        <v>0.0</v>
      </c>
      <c r="H48" s="429">
        <f>'11.F&amp;V Crop Production details'!H59</f>
        <v>0.0</v>
      </c>
    </row>
    <row r="49" spans="8:8">
      <c r="A49" s="429">
        <f>'11.F&amp;V Crop Production details'!A60</f>
        <v>0.0</v>
      </c>
      <c r="B49" s="429">
        <f>'11.F&amp;V Crop Production details'!B60</f>
        <v>0.0</v>
      </c>
      <c r="C49" s="429">
        <f>'11.F&amp;V Crop Production details'!C60</f>
        <v>0.0</v>
      </c>
      <c r="D49" s="429">
        <f>'11.F&amp;V Crop Production details'!D60</f>
        <v>0.0</v>
      </c>
      <c r="E49" s="429">
        <f>'11.F&amp;V Crop Production details'!E60</f>
        <v>0.0</v>
      </c>
      <c r="F49" s="429">
        <f>'11.F&amp;V Crop Production details'!F60</f>
        <v>0.0</v>
      </c>
      <c r="G49" s="429">
        <f>'11.F&amp;V Crop Production details'!G60</f>
        <v>0.0</v>
      </c>
      <c r="H49" s="429">
        <f>'11.F&amp;V Crop Production details'!H60</f>
        <v>0.0</v>
      </c>
    </row>
    <row r="50" spans="8:8">
      <c r="A50" s="429">
        <f>'11.F&amp;V Crop Production details'!A61</f>
        <v>0.0</v>
      </c>
      <c r="B50" s="429">
        <f>'11.F&amp;V Crop Production details'!B61</f>
        <v>0.0</v>
      </c>
      <c r="C50" s="429">
        <f>'11.F&amp;V Crop Production details'!C61</f>
        <v>0.0</v>
      </c>
      <c r="D50" s="429">
        <f>'11.F&amp;V Crop Production details'!D61</f>
        <v>0.0</v>
      </c>
      <c r="E50" s="429">
        <f>'11.F&amp;V Crop Production details'!E61</f>
        <v>0.0</v>
      </c>
      <c r="F50" s="429">
        <f>'11.F&amp;V Crop Production details'!F61</f>
        <v>0.0</v>
      </c>
      <c r="G50" s="429">
        <f>'11.F&amp;V Crop Production details'!G61</f>
        <v>0.0</v>
      </c>
      <c r="H50" s="429">
        <f>'11.F&amp;V Crop Production details'!H61</f>
        <v>0.0</v>
      </c>
    </row>
    <row r="51" spans="8:8">
      <c r="A51" s="429">
        <f>'11.F&amp;V Crop Production details'!A62</f>
        <v>0.0</v>
      </c>
      <c r="B51" s="429">
        <f>'11.F&amp;V Crop Production details'!B62</f>
        <v>0.0</v>
      </c>
      <c r="C51" s="429">
        <f>'11.F&amp;V Crop Production details'!C62</f>
        <v>0.0</v>
      </c>
      <c r="D51" s="429">
        <f>'11.F&amp;V Crop Production details'!D62</f>
        <v>0.0</v>
      </c>
      <c r="E51" s="429">
        <f>'11.F&amp;V Crop Production details'!E62</f>
        <v>0.0</v>
      </c>
      <c r="F51" s="429">
        <f>'11.F&amp;V Crop Production details'!F62</f>
        <v>0.0</v>
      </c>
      <c r="G51" s="429">
        <f>'11.F&amp;V Crop Production details'!G62</f>
        <v>0.0</v>
      </c>
      <c r="H51" s="429">
        <f>'11.F&amp;V Crop Production details'!H62</f>
        <v>0.0</v>
      </c>
    </row>
    <row r="52" spans="8:8">
      <c r="A52" s="429">
        <f>'11.F&amp;V Crop Production details'!A63</f>
        <v>0.0</v>
      </c>
      <c r="B52" s="429">
        <f>'11.F&amp;V Crop Production details'!B63</f>
        <v>0.0</v>
      </c>
      <c r="C52" s="429">
        <f>'11.F&amp;V Crop Production details'!C63</f>
        <v>0.0</v>
      </c>
      <c r="D52" s="429">
        <f>'11.F&amp;V Crop Production details'!D63</f>
        <v>0.0</v>
      </c>
      <c r="E52" s="429">
        <f>'11.F&amp;V Crop Production details'!E63</f>
        <v>0.0</v>
      </c>
      <c r="F52" s="429">
        <f>'11.F&amp;V Crop Production details'!F63</f>
        <v>0.0</v>
      </c>
      <c r="G52" s="429">
        <f>'11.F&amp;V Crop Production details'!G63</f>
        <v>0.0</v>
      </c>
      <c r="H52" s="429">
        <f>'11.F&amp;V Crop Production details'!H63</f>
        <v>0.0</v>
      </c>
    </row>
    <row r="53" spans="8:8">
      <c r="A53" s="429">
        <f>'11.F&amp;V Crop Production details'!A64</f>
        <v>0.0</v>
      </c>
      <c r="B53" s="429"/>
      <c r="C53" s="429"/>
      <c r="D53" s="429"/>
      <c r="E53" s="429"/>
      <c r="F53" s="429"/>
      <c r="G53" s="429"/>
      <c r="H53" s="429"/>
    </row>
    <row r="54" spans="8:8">
      <c r="A54" s="429">
        <f>'11.F&amp;V Crop Production details'!A65</f>
        <v>0.0</v>
      </c>
      <c r="B54" s="429"/>
      <c r="C54" s="429"/>
      <c r="D54" s="429"/>
      <c r="E54" s="429"/>
      <c r="F54" s="429"/>
      <c r="G54" s="429"/>
      <c r="H54" s="429"/>
    </row>
    <row r="55" spans="8:8">
      <c r="A55" s="429">
        <f>'11.F&amp;V Crop Production details'!A66</f>
        <v>0.0</v>
      </c>
      <c r="B55" s="429"/>
      <c r="C55" s="429"/>
      <c r="D55" s="429"/>
      <c r="E55" s="429"/>
      <c r="F55" s="429"/>
      <c r="G55" s="429"/>
      <c r="H55" s="429"/>
    </row>
    <row r="56" spans="8:8">
      <c r="A56" s="429" t="str">
        <f>'11.F&amp;V Crop Production details'!A67</f>
        <v>Pomegranate</v>
      </c>
      <c r="B56" s="429">
        <f>'11.F&amp;V Crop Production details'!B67</f>
        <v>0.0</v>
      </c>
      <c r="C56" s="429">
        <f>'11.F&amp;V Crop Production details'!C67</f>
        <v>0.0</v>
      </c>
      <c r="D56" s="429">
        <f>'11.F&amp;V Crop Production details'!D67</f>
        <v>0.0</v>
      </c>
      <c r="E56" s="429">
        <f>'11.F&amp;V Crop Production details'!E67</f>
        <v>0.0</v>
      </c>
      <c r="F56" s="429">
        <f>'11.F&amp;V Crop Production details'!F67</f>
        <v>0.0</v>
      </c>
      <c r="G56" s="429">
        <f>'11.F&amp;V Crop Production details'!G67</f>
        <v>0.0</v>
      </c>
      <c r="H56" s="429">
        <f>'11.F&amp;V Crop Production details'!H67</f>
        <v>0.0</v>
      </c>
    </row>
    <row r="57" spans="8:8">
      <c r="A57" s="429" t="str">
        <f>'11.F&amp;V Crop Production details'!A68</f>
        <v>Custard Apple</v>
      </c>
      <c r="B57" s="429">
        <f>'11.F&amp;V Crop Production details'!B68</f>
        <v>0.0</v>
      </c>
      <c r="C57" s="429">
        <f>'11.F&amp;V Crop Production details'!C68</f>
        <v>0.0</v>
      </c>
      <c r="D57" s="429">
        <f>'11.F&amp;V Crop Production details'!D68</f>
        <v>0.0</v>
      </c>
      <c r="E57" s="429">
        <f>'11.F&amp;V Crop Production details'!E68</f>
        <v>0.0</v>
      </c>
      <c r="F57" s="429">
        <f>'11.F&amp;V Crop Production details'!F68</f>
        <v>0.0</v>
      </c>
      <c r="G57" s="429">
        <f>'11.F&amp;V Crop Production details'!G68</f>
        <v>0.0</v>
      </c>
      <c r="H57" s="429">
        <f>'11.F&amp;V Crop Production details'!H68</f>
        <v>0.0</v>
      </c>
    </row>
    <row r="58" spans="8:8">
      <c r="A58" s="429" t="str">
        <f>'11.F&amp;V Crop Production details'!A69</f>
        <v>Guava</v>
      </c>
      <c r="B58" s="429">
        <f>'11.F&amp;V Crop Production details'!B69</f>
        <v>0.0</v>
      </c>
      <c r="C58" s="429">
        <f>'11.F&amp;V Crop Production details'!C69</f>
        <v>0.0</v>
      </c>
      <c r="D58" s="429">
        <f>'11.F&amp;V Crop Production details'!D69</f>
        <v>0.0</v>
      </c>
      <c r="E58" s="429">
        <f>'11.F&amp;V Crop Production details'!E69</f>
        <v>0.0</v>
      </c>
      <c r="F58" s="429">
        <f>'11.F&amp;V Crop Production details'!F69</f>
        <v>0.0</v>
      </c>
      <c r="G58" s="429">
        <f>'11.F&amp;V Crop Production details'!G69</f>
        <v>0.0</v>
      </c>
      <c r="H58" s="429">
        <f>'11.F&amp;V Crop Production details'!H69</f>
        <v>0.0</v>
      </c>
    </row>
    <row r="59" spans="8:8">
      <c r="A59" s="429" t="str">
        <f>'11.F&amp;V Crop Production details'!A70</f>
        <v>Citrus</v>
      </c>
      <c r="B59" s="429">
        <f>'11.F&amp;V Crop Production details'!B70</f>
        <v>0.0</v>
      </c>
      <c r="C59" s="429">
        <f>'11.F&amp;V Crop Production details'!C70</f>
        <v>0.0</v>
      </c>
      <c r="D59" s="429">
        <f>'11.F&amp;V Crop Production details'!D70</f>
        <v>0.0</v>
      </c>
      <c r="E59" s="429">
        <f>'11.F&amp;V Crop Production details'!E70</f>
        <v>0.0</v>
      </c>
      <c r="F59" s="429">
        <f>'11.F&amp;V Crop Production details'!F70</f>
        <v>0.0</v>
      </c>
      <c r="G59" s="429">
        <f>'11.F&amp;V Crop Production details'!G70</f>
        <v>0.0</v>
      </c>
      <c r="H59" s="429">
        <f>'11.F&amp;V Crop Production details'!H70</f>
        <v>0.0</v>
      </c>
    </row>
    <row r="60" spans="8:8">
      <c r="A60" s="429"/>
      <c r="B60" s="429"/>
      <c r="C60" s="429"/>
      <c r="D60" s="429"/>
      <c r="E60" s="429"/>
      <c r="F60" s="429"/>
      <c r="G60" s="429"/>
      <c r="H60" s="429"/>
    </row>
    <row r="61" spans="8:8">
      <c r="A61" s="123" t="s">
        <v>531</v>
      </c>
      <c r="B61" s="429">
        <f t="shared" si="2" ref="B61:H61">SUM(B35:B59)</f>
        <v>0.0</v>
      </c>
      <c r="C61" s="429">
        <f t="shared" si="2"/>
        <v>0.0</v>
      </c>
      <c r="D61" s="429">
        <f t="shared" si="2"/>
        <v>0.0</v>
      </c>
      <c r="E61" s="429">
        <f t="shared" si="2"/>
        <v>0.0</v>
      </c>
      <c r="F61" s="429">
        <f t="shared" si="2"/>
        <v>0.0</v>
      </c>
      <c r="G61" s="429">
        <f t="shared" si="2"/>
        <v>0.0</v>
      </c>
      <c r="H61" s="429">
        <f t="shared" si="2"/>
        <v>0.0</v>
      </c>
    </row>
    <row r="62" spans="8:8">
      <c r="A62" s="430" t="s">
        <v>533</v>
      </c>
      <c r="B62" s="431">
        <v>0.0</v>
      </c>
      <c r="C62" s="431">
        <v>0.0</v>
      </c>
      <c r="D62" s="431">
        <v>0.0</v>
      </c>
      <c r="E62" s="431">
        <v>0.0</v>
      </c>
      <c r="F62" s="431">
        <v>0.0</v>
      </c>
      <c r="G62" s="431">
        <v>0.0</v>
      </c>
      <c r="H62" s="431">
        <v>0.0</v>
      </c>
    </row>
    <row r="63" spans="8:8">
      <c r="A63" s="430" t="s">
        <v>534</v>
      </c>
      <c r="B63" s="431">
        <f t="shared" si="3" ref="B63:H63">1-B62</f>
        <v>1.0</v>
      </c>
      <c r="C63" s="431">
        <f t="shared" si="3"/>
        <v>1.0</v>
      </c>
      <c r="D63" s="431">
        <f t="shared" si="3"/>
        <v>1.0</v>
      </c>
      <c r="E63" s="431">
        <f t="shared" si="3"/>
        <v>1.0</v>
      </c>
      <c r="F63" s="431">
        <f t="shared" si="3"/>
        <v>1.0</v>
      </c>
      <c r="G63" s="431">
        <f t="shared" si="3"/>
        <v>1.0</v>
      </c>
      <c r="H63" s="431">
        <f t="shared" si="3"/>
        <v>1.0</v>
      </c>
    </row>
    <row r="64" spans="8:8">
      <c r="A64" s="430"/>
      <c r="B64" s="431"/>
      <c r="C64" s="431"/>
      <c r="D64" s="431"/>
      <c r="E64" s="431"/>
      <c r="F64" s="431"/>
      <c r="G64" s="431"/>
      <c r="H64" s="431"/>
    </row>
    <row r="65" spans="8:8">
      <c r="A65" s="430" t="s">
        <v>165</v>
      </c>
      <c r="B65" s="432">
        <f t="shared" si="4" ref="B65:H65">B33*B62</f>
        <v>0.0</v>
      </c>
      <c r="C65" s="432">
        <f t="shared" si="4"/>
        <v>0.0</v>
      </c>
      <c r="D65" s="432">
        <f t="shared" si="4"/>
        <v>0.0</v>
      </c>
      <c r="E65" s="432">
        <f t="shared" si="4"/>
        <v>0.0</v>
      </c>
      <c r="F65" s="432">
        <f t="shared" si="4"/>
        <v>0.0</v>
      </c>
      <c r="G65" s="432">
        <f t="shared" si="4"/>
        <v>0.0</v>
      </c>
      <c r="H65" s="432">
        <f t="shared" si="4"/>
        <v>0.0</v>
      </c>
    </row>
    <row r="66" spans="8:8">
      <c r="A66" s="123"/>
      <c r="B66" s="429"/>
      <c r="C66" s="429"/>
      <c r="D66" s="429"/>
      <c r="E66" s="429"/>
      <c r="F66" s="429"/>
      <c r="G66" s="429"/>
      <c r="H66" s="429"/>
    </row>
    <row r="67" spans="8:8">
      <c r="A67" s="123" t="s">
        <v>166</v>
      </c>
      <c r="B67" s="429"/>
      <c r="C67" s="429"/>
      <c r="D67" s="429"/>
      <c r="E67" s="429"/>
      <c r="F67" s="429"/>
      <c r="G67" s="429"/>
      <c r="H67" s="429"/>
    </row>
    <row r="68" spans="8:8">
      <c r="A68" s="120" t="str">
        <f t="shared" si="5" ref="A68:A89">A11</f>
        <v>Soybean</v>
      </c>
      <c r="B68" s="433">
        <f t="shared" si="6" ref="B68:B89">B11*$B$63</f>
        <v>7622.1</v>
      </c>
      <c r="C68" s="433">
        <f t="shared" si="7" ref="C68:C83">C11*$C$63</f>
        <v>8469.0</v>
      </c>
      <c r="D68" s="433">
        <f t="shared" si="8" ref="D68:D83">D11*$D$63</f>
        <v>9315.900000000001</v>
      </c>
      <c r="E68" s="433">
        <f t="shared" si="9" ref="E68:E83">E11*$E$63</f>
        <v>10162.800000000001</v>
      </c>
      <c r="F68" s="433">
        <f t="shared" si="10" ref="F68:F83">F11*$F$63</f>
        <v>11009.7</v>
      </c>
      <c r="G68" s="433">
        <f t="shared" si="11" ref="G68:G83">G11*$G$63</f>
        <v>11856.6</v>
      </c>
      <c r="H68" s="433">
        <f t="shared" si="12" ref="H68:H83">H11*$H$63</f>
        <v>12703.5</v>
      </c>
    </row>
    <row r="69" spans="8:8">
      <c r="A69" s="120" t="str">
        <f t="shared" si="5"/>
        <v>Red Gram/Tur</v>
      </c>
      <c r="B69" s="433">
        <f t="shared" si="6"/>
        <v>0.0</v>
      </c>
      <c r="C69" s="433">
        <f t="shared" si="7"/>
        <v>0.0</v>
      </c>
      <c r="D69" s="433">
        <f t="shared" si="8"/>
        <v>0.0</v>
      </c>
      <c r="E69" s="433">
        <f t="shared" si="9"/>
        <v>0.0</v>
      </c>
      <c r="F69" s="433">
        <f t="shared" si="10"/>
        <v>0.0</v>
      </c>
      <c r="G69" s="433">
        <f t="shared" si="11"/>
        <v>0.0</v>
      </c>
      <c r="H69" s="433">
        <f t="shared" si="12"/>
        <v>0.0</v>
      </c>
    </row>
    <row r="70" spans="8:8">
      <c r="A70" s="120" t="str">
        <f t="shared" si="5"/>
        <v>Paddy/Rice</v>
      </c>
      <c r="B70" s="433">
        <f t="shared" si="6"/>
        <v>0.0</v>
      </c>
      <c r="C70" s="433">
        <f t="shared" si="7"/>
        <v>0.0</v>
      </c>
      <c r="D70" s="433">
        <f t="shared" si="8"/>
        <v>0.0</v>
      </c>
      <c r="E70" s="433">
        <f t="shared" si="9"/>
        <v>0.0</v>
      </c>
      <c r="F70" s="433">
        <f t="shared" si="10"/>
        <v>0.0</v>
      </c>
      <c r="G70" s="433">
        <f t="shared" si="11"/>
        <v>0.0</v>
      </c>
      <c r="H70" s="433">
        <f t="shared" si="12"/>
        <v>0.0</v>
      </c>
    </row>
    <row r="71" spans="8:8">
      <c r="A71" s="120" t="str">
        <f t="shared" si="5"/>
        <v>Green Gram/ Moong</v>
      </c>
      <c r="B71" s="433">
        <f t="shared" si="6"/>
        <v>0.0</v>
      </c>
      <c r="C71" s="433">
        <f t="shared" si="7"/>
        <v>0.0</v>
      </c>
      <c r="D71" s="433">
        <f t="shared" si="8"/>
        <v>0.0</v>
      </c>
      <c r="E71" s="433">
        <f t="shared" si="9"/>
        <v>0.0</v>
      </c>
      <c r="F71" s="433">
        <f t="shared" si="10"/>
        <v>0.0</v>
      </c>
      <c r="G71" s="433">
        <f t="shared" si="11"/>
        <v>0.0</v>
      </c>
      <c r="H71" s="433">
        <f t="shared" si="12"/>
        <v>0.0</v>
      </c>
    </row>
    <row r="72" spans="8:8">
      <c r="A72" s="120" t="str">
        <f t="shared" si="5"/>
        <v>Maize</v>
      </c>
      <c r="B72" s="433">
        <f t="shared" si="6"/>
        <v>0.0</v>
      </c>
      <c r="C72" s="433">
        <f t="shared" si="7"/>
        <v>0.0</v>
      </c>
      <c r="D72" s="433">
        <f t="shared" si="8"/>
        <v>0.0</v>
      </c>
      <c r="E72" s="433">
        <f t="shared" si="9"/>
        <v>0.0</v>
      </c>
      <c r="F72" s="433">
        <f t="shared" si="10"/>
        <v>0.0</v>
      </c>
      <c r="G72" s="433">
        <f t="shared" si="11"/>
        <v>0.0</v>
      </c>
      <c r="H72" s="433">
        <f t="shared" si="12"/>
        <v>0.0</v>
      </c>
    </row>
    <row r="73" spans="8:8">
      <c r="A73" s="120" t="str">
        <f t="shared" si="5"/>
        <v>Black Gram/Udid</v>
      </c>
      <c r="B73" s="433">
        <f t="shared" si="6"/>
        <v>0.0</v>
      </c>
      <c r="C73" s="433">
        <f t="shared" si="7"/>
        <v>0.0</v>
      </c>
      <c r="D73" s="433">
        <f t="shared" si="8"/>
        <v>0.0</v>
      </c>
      <c r="E73" s="433">
        <f t="shared" si="9"/>
        <v>0.0</v>
      </c>
      <c r="F73" s="433">
        <f t="shared" si="10"/>
        <v>0.0</v>
      </c>
      <c r="G73" s="433">
        <f t="shared" si="11"/>
        <v>0.0</v>
      </c>
      <c r="H73" s="433">
        <f t="shared" si="12"/>
        <v>0.0</v>
      </c>
    </row>
    <row r="74" spans="8:8">
      <c r="A74" s="120" t="str">
        <f t="shared" si="5"/>
        <v>Bajra</v>
      </c>
      <c r="B74" s="433">
        <f t="shared" si="6"/>
        <v>0.0</v>
      </c>
      <c r="C74" s="433">
        <f t="shared" si="7"/>
        <v>0.0</v>
      </c>
      <c r="D74" s="433">
        <f t="shared" si="8"/>
        <v>0.0</v>
      </c>
      <c r="E74" s="433">
        <f t="shared" si="9"/>
        <v>0.0</v>
      </c>
      <c r="F74" s="433">
        <f t="shared" si="10"/>
        <v>0.0</v>
      </c>
      <c r="G74" s="433">
        <f t="shared" si="11"/>
        <v>0.0</v>
      </c>
      <c r="H74" s="433">
        <f t="shared" si="12"/>
        <v>0.0</v>
      </c>
    </row>
    <row r="75" spans="8:8">
      <c r="A75" s="120" t="str">
        <f t="shared" si="5"/>
        <v>Jawar</v>
      </c>
      <c r="B75" s="433">
        <f t="shared" si="6"/>
        <v>0.0</v>
      </c>
      <c r="C75" s="433">
        <f t="shared" si="7"/>
        <v>0.0</v>
      </c>
      <c r="D75" s="433">
        <f t="shared" si="8"/>
        <v>0.0</v>
      </c>
      <c r="E75" s="433">
        <f t="shared" si="9"/>
        <v>0.0</v>
      </c>
      <c r="F75" s="433">
        <f t="shared" si="10"/>
        <v>0.0</v>
      </c>
      <c r="G75" s="433">
        <f t="shared" si="11"/>
        <v>0.0</v>
      </c>
      <c r="H75" s="433">
        <f t="shared" si="12"/>
        <v>0.0</v>
      </c>
    </row>
    <row r="76" spans="8:8">
      <c r="A76" s="120" t="str">
        <f t="shared" si="5"/>
        <v>Sunflower</v>
      </c>
      <c r="B76" s="433">
        <f t="shared" si="6"/>
        <v>0.0</v>
      </c>
      <c r="C76" s="433">
        <f t="shared" si="7"/>
        <v>0.0</v>
      </c>
      <c r="D76" s="433">
        <f t="shared" si="8"/>
        <v>0.0</v>
      </c>
      <c r="E76" s="433">
        <f t="shared" si="9"/>
        <v>0.0</v>
      </c>
      <c r="F76" s="433">
        <f t="shared" si="10"/>
        <v>0.0</v>
      </c>
      <c r="G76" s="433">
        <f t="shared" si="11"/>
        <v>0.0</v>
      </c>
      <c r="H76" s="433">
        <f t="shared" si="12"/>
        <v>0.0</v>
      </c>
    </row>
    <row r="77" spans="8:8">
      <c r="A77" s="120" t="str">
        <f t="shared" si="5"/>
        <v>Wheat</v>
      </c>
      <c r="B77" s="433">
        <f t="shared" si="6"/>
        <v>0.0</v>
      </c>
      <c r="C77" s="433">
        <f t="shared" si="7"/>
        <v>0.0</v>
      </c>
      <c r="D77" s="433">
        <f t="shared" si="8"/>
        <v>0.0</v>
      </c>
      <c r="E77" s="433">
        <f t="shared" si="9"/>
        <v>0.0</v>
      </c>
      <c r="F77" s="433">
        <f t="shared" si="10"/>
        <v>0.0</v>
      </c>
      <c r="G77" s="433">
        <f t="shared" si="11"/>
        <v>0.0</v>
      </c>
      <c r="H77" s="433">
        <f t="shared" si="12"/>
        <v>0.0</v>
      </c>
    </row>
    <row r="78" spans="8:8">
      <c r="A78" s="120" t="str">
        <f t="shared" si="5"/>
        <v>Bengal Gram/Channa</v>
      </c>
      <c r="B78" s="433">
        <f t="shared" si="6"/>
        <v>5716.575</v>
      </c>
      <c r="C78" s="433">
        <f t="shared" si="7"/>
        <v>6351.75</v>
      </c>
      <c r="D78" s="433">
        <f t="shared" si="8"/>
        <v>6986.925</v>
      </c>
      <c r="E78" s="433">
        <f t="shared" si="9"/>
        <v>7622.100000000001</v>
      </c>
      <c r="F78" s="433">
        <f t="shared" si="10"/>
        <v>8257.275</v>
      </c>
      <c r="G78" s="433">
        <f t="shared" si="11"/>
        <v>8892.449999999999</v>
      </c>
      <c r="H78" s="433">
        <f t="shared" si="12"/>
        <v>9527.624999999996</v>
      </c>
    </row>
    <row r="79" spans="8:8">
      <c r="A79" s="120" t="str">
        <f t="shared" si="5"/>
        <v>Jawar</v>
      </c>
      <c r="B79" s="433">
        <f t="shared" si="6"/>
        <v>2964.15</v>
      </c>
      <c r="C79" s="433">
        <f t="shared" si="7"/>
        <v>3293.5</v>
      </c>
      <c r="D79" s="433">
        <f t="shared" si="8"/>
        <v>3622.8500000000004</v>
      </c>
      <c r="E79" s="433">
        <f t="shared" si="9"/>
        <v>3952.2000000000007</v>
      </c>
      <c r="F79" s="433">
        <f t="shared" si="10"/>
        <v>4281.55</v>
      </c>
      <c r="G79" s="433">
        <f t="shared" si="11"/>
        <v>4610.900000000001</v>
      </c>
      <c r="H79" s="433">
        <f t="shared" si="12"/>
        <v>4940.25</v>
      </c>
    </row>
    <row r="80" spans="8:8">
      <c r="A80" s="120" t="str">
        <f t="shared" si="5"/>
        <v>Maize</v>
      </c>
      <c r="B80" s="433">
        <f t="shared" si="6"/>
        <v>0.0</v>
      </c>
      <c r="C80" s="433">
        <f t="shared" si="7"/>
        <v>0.0</v>
      </c>
      <c r="D80" s="433">
        <f t="shared" si="8"/>
        <v>0.0</v>
      </c>
      <c r="E80" s="433">
        <f t="shared" si="9"/>
        <v>0.0</v>
      </c>
      <c r="F80" s="433">
        <f t="shared" si="10"/>
        <v>0.0</v>
      </c>
      <c r="G80" s="433">
        <f t="shared" si="11"/>
        <v>0.0</v>
      </c>
      <c r="H80" s="433">
        <f t="shared" si="12"/>
        <v>0.0</v>
      </c>
    </row>
    <row r="81" spans="8:8">
      <c r="A81" s="120" t="str">
        <f t="shared" si="5"/>
        <v>Safflower</v>
      </c>
      <c r="B81" s="433">
        <f t="shared" si="6"/>
        <v>0.0</v>
      </c>
      <c r="C81" s="433">
        <f t="shared" si="7"/>
        <v>0.0</v>
      </c>
      <c r="D81" s="433">
        <f t="shared" si="8"/>
        <v>0.0</v>
      </c>
      <c r="E81" s="433">
        <f t="shared" si="9"/>
        <v>0.0</v>
      </c>
      <c r="F81" s="433">
        <f t="shared" si="10"/>
        <v>0.0</v>
      </c>
      <c r="G81" s="433">
        <f t="shared" si="11"/>
        <v>0.0</v>
      </c>
      <c r="H81" s="433">
        <f t="shared" si="12"/>
        <v>0.0</v>
      </c>
    </row>
    <row r="82" spans="8:8">
      <c r="A82" s="120">
        <f t="shared" si="5"/>
        <v>0.0</v>
      </c>
      <c r="B82" s="433">
        <f t="shared" si="6"/>
        <v>0.0</v>
      </c>
      <c r="C82" s="433">
        <f t="shared" si="7"/>
        <v>0.0</v>
      </c>
      <c r="D82" s="433">
        <f t="shared" si="8"/>
        <v>0.0</v>
      </c>
      <c r="E82" s="433">
        <f t="shared" si="9"/>
        <v>0.0</v>
      </c>
      <c r="F82" s="433">
        <f t="shared" si="10"/>
        <v>0.0</v>
      </c>
      <c r="G82" s="433">
        <f t="shared" si="11"/>
        <v>0.0</v>
      </c>
      <c r="H82" s="433">
        <f t="shared" si="12"/>
        <v>0.0</v>
      </c>
    </row>
    <row r="83" spans="8:8">
      <c r="A83" s="120">
        <f t="shared" si="5"/>
        <v>0.0</v>
      </c>
      <c r="B83" s="433">
        <f t="shared" si="6"/>
        <v>0.0</v>
      </c>
      <c r="C83" s="433">
        <f t="shared" si="7"/>
        <v>0.0</v>
      </c>
      <c r="D83" s="433">
        <f t="shared" si="8"/>
        <v>0.0</v>
      </c>
      <c r="E83" s="433">
        <f t="shared" si="9"/>
        <v>0.0</v>
      </c>
      <c r="F83" s="433">
        <f t="shared" si="10"/>
        <v>0.0</v>
      </c>
      <c r="G83" s="433">
        <f t="shared" si="11"/>
        <v>0.0</v>
      </c>
      <c r="H83" s="433">
        <f t="shared" si="12"/>
        <v>0.0</v>
      </c>
    </row>
    <row r="84" spans="8:8">
      <c r="A84" s="120">
        <f t="shared" si="5"/>
        <v>0.0</v>
      </c>
      <c r="B84" s="433">
        <f t="shared" si="6"/>
        <v>0.0</v>
      </c>
      <c r="C84" s="433">
        <f t="shared" si="13" ref="C84:H89">C27*$B$63</f>
        <v>0.0</v>
      </c>
      <c r="D84" s="433">
        <f t="shared" si="13"/>
        <v>0.0</v>
      </c>
      <c r="E84" s="433">
        <f t="shared" si="13"/>
        <v>0.0</v>
      </c>
      <c r="F84" s="433">
        <f t="shared" si="13"/>
        <v>0.0</v>
      </c>
      <c r="G84" s="433">
        <f t="shared" si="13"/>
        <v>0.0</v>
      </c>
      <c r="H84" s="433">
        <f t="shared" si="13"/>
        <v>0.0</v>
      </c>
    </row>
    <row r="85" spans="8:8">
      <c r="A85" s="120" t="str">
        <f t="shared" si="5"/>
        <v>Groundnut</v>
      </c>
      <c r="B85" s="433">
        <f t="shared" si="6"/>
        <v>0.0</v>
      </c>
      <c r="C85" s="433">
        <f t="shared" si="13"/>
        <v>0.0</v>
      </c>
      <c r="D85" s="433">
        <f t="shared" si="13"/>
        <v>0.0</v>
      </c>
      <c r="E85" s="433">
        <f t="shared" si="13"/>
        <v>0.0</v>
      </c>
      <c r="F85" s="433">
        <f t="shared" si="13"/>
        <v>0.0</v>
      </c>
      <c r="G85" s="433">
        <f t="shared" si="13"/>
        <v>0.0</v>
      </c>
      <c r="H85" s="433">
        <f t="shared" si="13"/>
        <v>0.0</v>
      </c>
    </row>
    <row r="86" spans="8:8">
      <c r="A86" s="120">
        <f t="shared" si="5"/>
        <v>0.0</v>
      </c>
      <c r="B86" s="433">
        <f t="shared" si="6"/>
        <v>0.0</v>
      </c>
      <c r="C86" s="433">
        <f t="shared" si="13"/>
        <v>0.0</v>
      </c>
      <c r="D86" s="433">
        <f t="shared" si="13"/>
        <v>0.0</v>
      </c>
      <c r="E86" s="433">
        <f t="shared" si="13"/>
        <v>0.0</v>
      </c>
      <c r="F86" s="433">
        <f t="shared" si="13"/>
        <v>0.0</v>
      </c>
      <c r="G86" s="433">
        <f t="shared" si="13"/>
        <v>0.0</v>
      </c>
      <c r="H86" s="433">
        <f t="shared" si="13"/>
        <v>0.0</v>
      </c>
    </row>
    <row r="87" spans="8:8">
      <c r="A87" s="120">
        <f t="shared" si="5"/>
        <v>0.0</v>
      </c>
      <c r="B87" s="433">
        <f t="shared" si="6"/>
        <v>0.0</v>
      </c>
      <c r="C87" s="433">
        <f t="shared" si="13"/>
        <v>0.0</v>
      </c>
      <c r="D87" s="433">
        <f t="shared" si="13"/>
        <v>0.0</v>
      </c>
      <c r="E87" s="433">
        <f t="shared" si="13"/>
        <v>0.0</v>
      </c>
      <c r="F87" s="433">
        <f t="shared" si="13"/>
        <v>0.0</v>
      </c>
      <c r="G87" s="433">
        <f t="shared" si="13"/>
        <v>0.0</v>
      </c>
      <c r="H87" s="433">
        <f t="shared" si="13"/>
        <v>0.0</v>
      </c>
    </row>
    <row r="88" spans="8:8">
      <c r="A88" s="120">
        <f t="shared" si="5"/>
        <v>0.0</v>
      </c>
      <c r="B88" s="433">
        <f t="shared" si="6"/>
        <v>0.0</v>
      </c>
      <c r="C88" s="433">
        <f t="shared" si="13"/>
        <v>0.0</v>
      </c>
      <c r="D88" s="433">
        <f t="shared" si="13"/>
        <v>0.0</v>
      </c>
      <c r="E88" s="433">
        <f t="shared" si="13"/>
        <v>0.0</v>
      </c>
      <c r="F88" s="433">
        <f t="shared" si="13"/>
        <v>0.0</v>
      </c>
      <c r="G88" s="433">
        <f t="shared" si="13"/>
        <v>0.0</v>
      </c>
      <c r="H88" s="433">
        <f t="shared" si="13"/>
        <v>0.0</v>
      </c>
    </row>
    <row r="89" spans="8:8">
      <c r="A89" s="120">
        <f t="shared" si="5"/>
        <v>0.0</v>
      </c>
      <c r="B89" s="433">
        <f t="shared" si="6"/>
        <v>0.0</v>
      </c>
      <c r="C89" s="433">
        <f t="shared" si="13"/>
        <v>0.0</v>
      </c>
      <c r="D89" s="433">
        <f t="shared" si="13"/>
        <v>0.0</v>
      </c>
      <c r="E89" s="433">
        <f t="shared" si="13"/>
        <v>0.0</v>
      </c>
      <c r="F89" s="433">
        <f t="shared" si="13"/>
        <v>0.0</v>
      </c>
      <c r="G89" s="433">
        <f t="shared" si="13"/>
        <v>0.0</v>
      </c>
      <c r="H89" s="433">
        <f t="shared" si="13"/>
        <v>0.0</v>
      </c>
    </row>
    <row r="90" spans="8:8">
      <c r="A90" s="120"/>
      <c r="B90" s="433"/>
      <c r="C90" s="433"/>
      <c r="D90" s="433"/>
      <c r="E90" s="433"/>
      <c r="F90" s="433"/>
      <c r="G90" s="433"/>
      <c r="H90" s="433"/>
      <c r="J90" s="434"/>
      <c r="K90" s="434"/>
      <c r="L90" s="434"/>
    </row>
    <row r="91" spans="8:8">
      <c r="A91" s="120" t="str">
        <f t="shared" si="14" ref="A91:A109">A34</f>
        <v>Fruit  &amp; Vegetables Crop Production Details</v>
      </c>
      <c r="B91" s="433"/>
      <c r="C91" s="433"/>
      <c r="D91" s="433"/>
      <c r="E91" s="433"/>
      <c r="F91" s="433"/>
      <c r="G91" s="433"/>
      <c r="H91" s="433"/>
      <c r="J91" s="434"/>
      <c r="K91" s="434"/>
      <c r="L91" s="434"/>
    </row>
    <row r="92" spans="8:8">
      <c r="A92" s="120" t="str">
        <f t="shared" si="14"/>
        <v>Onion</v>
      </c>
      <c r="B92" s="433">
        <f t="shared" si="15" ref="B92:H101">B35</f>
        <v>0.0</v>
      </c>
      <c r="C92" s="433">
        <f t="shared" si="15"/>
        <v>0.0</v>
      </c>
      <c r="D92" s="433">
        <f t="shared" si="15"/>
        <v>0.0</v>
      </c>
      <c r="E92" s="433">
        <f t="shared" si="15"/>
        <v>0.0</v>
      </c>
      <c r="F92" s="433">
        <f t="shared" si="15"/>
        <v>0.0</v>
      </c>
      <c r="G92" s="433">
        <f t="shared" si="15"/>
        <v>0.0</v>
      </c>
      <c r="H92" s="433">
        <f t="shared" si="15"/>
        <v>0.0</v>
      </c>
      <c r="J92" s="434"/>
      <c r="K92" s="434"/>
      <c r="L92" s="434"/>
    </row>
    <row r="93" spans="8:8">
      <c r="A93" s="120" t="str">
        <f t="shared" si="14"/>
        <v>Tomato</v>
      </c>
      <c r="B93" s="433">
        <f t="shared" si="15"/>
        <v>0.0</v>
      </c>
      <c r="C93" s="433">
        <f t="shared" si="15"/>
        <v>0.0</v>
      </c>
      <c r="D93" s="433">
        <f t="shared" si="15"/>
        <v>0.0</v>
      </c>
      <c r="E93" s="433">
        <f t="shared" si="15"/>
        <v>0.0</v>
      </c>
      <c r="F93" s="433">
        <f t="shared" si="15"/>
        <v>0.0</v>
      </c>
      <c r="G93" s="433">
        <f t="shared" si="15"/>
        <v>0.0</v>
      </c>
      <c r="H93" s="433">
        <f t="shared" si="15"/>
        <v>0.0</v>
      </c>
      <c r="J93" s="434"/>
      <c r="K93" s="434"/>
      <c r="L93" s="434"/>
    </row>
    <row r="94" spans="8:8">
      <c r="A94" s="120" t="str">
        <f t="shared" si="14"/>
        <v>Okra</v>
      </c>
      <c r="B94" s="433">
        <f t="shared" si="15"/>
        <v>0.0</v>
      </c>
      <c r="C94" s="433">
        <f t="shared" si="15"/>
        <v>0.0</v>
      </c>
      <c r="D94" s="433">
        <f t="shared" si="15"/>
        <v>0.0</v>
      </c>
      <c r="E94" s="433">
        <f t="shared" si="15"/>
        <v>0.0</v>
      </c>
      <c r="F94" s="433">
        <f t="shared" si="15"/>
        <v>0.0</v>
      </c>
      <c r="G94" s="433">
        <f t="shared" si="15"/>
        <v>0.0</v>
      </c>
      <c r="H94" s="433">
        <f t="shared" si="15"/>
        <v>0.0</v>
      </c>
      <c r="J94" s="434"/>
      <c r="K94" s="434"/>
      <c r="L94" s="434"/>
    </row>
    <row r="95" spans="8:8">
      <c r="A95" s="120" t="str">
        <f t="shared" si="14"/>
        <v>Chilli</v>
      </c>
      <c r="B95" s="433">
        <f t="shared" si="15"/>
        <v>0.0</v>
      </c>
      <c r="C95" s="433">
        <f t="shared" si="15"/>
        <v>0.0</v>
      </c>
      <c r="D95" s="433">
        <f t="shared" si="15"/>
        <v>0.0</v>
      </c>
      <c r="E95" s="433">
        <f t="shared" si="15"/>
        <v>0.0</v>
      </c>
      <c r="F95" s="433">
        <f t="shared" si="15"/>
        <v>0.0</v>
      </c>
      <c r="G95" s="433">
        <f t="shared" si="15"/>
        <v>0.0</v>
      </c>
      <c r="H95" s="433">
        <f t="shared" si="15"/>
        <v>0.0</v>
      </c>
      <c r="J95" s="434"/>
      <c r="K95" s="434"/>
      <c r="L95" s="434"/>
    </row>
    <row r="96" spans="8:8">
      <c r="A96" s="120" t="str">
        <f t="shared" si="14"/>
        <v>Potato</v>
      </c>
      <c r="B96" s="433">
        <f t="shared" si="15"/>
        <v>0.0</v>
      </c>
      <c r="C96" s="433">
        <f t="shared" si="15"/>
        <v>0.0</v>
      </c>
      <c r="D96" s="433">
        <f t="shared" si="15"/>
        <v>0.0</v>
      </c>
      <c r="E96" s="433">
        <f t="shared" si="15"/>
        <v>0.0</v>
      </c>
      <c r="F96" s="433">
        <f t="shared" si="15"/>
        <v>0.0</v>
      </c>
      <c r="G96" s="433">
        <f t="shared" si="15"/>
        <v>0.0</v>
      </c>
      <c r="H96" s="433">
        <f t="shared" si="15"/>
        <v>0.0</v>
      </c>
      <c r="J96" s="434"/>
      <c r="K96" s="434"/>
      <c r="L96" s="434"/>
    </row>
    <row r="97" spans="8:8">
      <c r="A97" s="120">
        <f t="shared" si="14"/>
        <v>0.0</v>
      </c>
      <c r="B97" s="433">
        <f t="shared" si="15"/>
        <v>0.0</v>
      </c>
      <c r="C97" s="433">
        <f t="shared" si="15"/>
        <v>0.0</v>
      </c>
      <c r="D97" s="433">
        <f t="shared" si="15"/>
        <v>0.0</v>
      </c>
      <c r="E97" s="433">
        <f t="shared" si="15"/>
        <v>0.0</v>
      </c>
      <c r="F97" s="433">
        <f t="shared" si="15"/>
        <v>0.0</v>
      </c>
      <c r="G97" s="433">
        <f t="shared" si="15"/>
        <v>0.0</v>
      </c>
      <c r="H97" s="433">
        <f t="shared" si="15"/>
        <v>0.0</v>
      </c>
      <c r="J97" s="434"/>
      <c r="K97" s="434"/>
      <c r="L97" s="434"/>
    </row>
    <row r="98" spans="8:8">
      <c r="A98" s="120">
        <f t="shared" si="14"/>
        <v>0.0</v>
      </c>
      <c r="B98" s="433">
        <f t="shared" si="15"/>
        <v>0.0</v>
      </c>
      <c r="C98" s="433">
        <f t="shared" si="15"/>
        <v>0.0</v>
      </c>
      <c r="D98" s="433">
        <f t="shared" si="15"/>
        <v>0.0</v>
      </c>
      <c r="E98" s="433">
        <f t="shared" si="15"/>
        <v>0.0</v>
      </c>
      <c r="F98" s="433">
        <f t="shared" si="15"/>
        <v>0.0</v>
      </c>
      <c r="G98" s="433">
        <f t="shared" si="15"/>
        <v>0.0</v>
      </c>
      <c r="H98" s="433">
        <f t="shared" si="15"/>
        <v>0.0</v>
      </c>
      <c r="J98" s="434"/>
      <c r="K98" s="434"/>
      <c r="L98" s="434"/>
    </row>
    <row r="99" spans="8:8">
      <c r="A99" s="120">
        <f t="shared" si="14"/>
        <v>0.0</v>
      </c>
      <c r="B99" s="433">
        <f t="shared" si="15"/>
        <v>0.0</v>
      </c>
      <c r="C99" s="433">
        <f t="shared" si="15"/>
        <v>0.0</v>
      </c>
      <c r="D99" s="433">
        <f t="shared" si="15"/>
        <v>0.0</v>
      </c>
      <c r="E99" s="433">
        <f t="shared" si="15"/>
        <v>0.0</v>
      </c>
      <c r="F99" s="433">
        <f t="shared" si="15"/>
        <v>0.0</v>
      </c>
      <c r="G99" s="433">
        <f t="shared" si="15"/>
        <v>0.0</v>
      </c>
      <c r="H99" s="433">
        <f t="shared" si="15"/>
        <v>0.0</v>
      </c>
      <c r="J99" s="434"/>
      <c r="K99" s="434"/>
      <c r="L99" s="434"/>
    </row>
    <row r="100" spans="8:8">
      <c r="A100" s="120">
        <f t="shared" si="14"/>
        <v>0.0</v>
      </c>
      <c r="B100" s="433">
        <f t="shared" si="15"/>
        <v>0.0</v>
      </c>
      <c r="C100" s="433">
        <f t="shared" si="15"/>
        <v>0.0</v>
      </c>
      <c r="D100" s="433">
        <f t="shared" si="15"/>
        <v>0.0</v>
      </c>
      <c r="E100" s="433">
        <f t="shared" si="15"/>
        <v>0.0</v>
      </c>
      <c r="F100" s="433">
        <f t="shared" si="15"/>
        <v>0.0</v>
      </c>
      <c r="G100" s="433">
        <f t="shared" si="15"/>
        <v>0.0</v>
      </c>
      <c r="H100" s="433">
        <f t="shared" si="15"/>
        <v>0.0</v>
      </c>
      <c r="J100" s="434"/>
      <c r="K100" s="434"/>
      <c r="L100" s="434"/>
    </row>
    <row r="101" spans="8:8">
      <c r="A101" s="120" t="str">
        <f t="shared" si="14"/>
        <v>Onion</v>
      </c>
      <c r="B101" s="433">
        <f t="shared" si="15"/>
        <v>0.0</v>
      </c>
      <c r="C101" s="433">
        <f t="shared" si="15"/>
        <v>0.0</v>
      </c>
      <c r="D101" s="433">
        <f t="shared" si="15"/>
        <v>0.0</v>
      </c>
      <c r="E101" s="433">
        <f t="shared" si="15"/>
        <v>0.0</v>
      </c>
      <c r="F101" s="433">
        <f t="shared" si="15"/>
        <v>0.0</v>
      </c>
      <c r="G101" s="433">
        <f t="shared" si="15"/>
        <v>0.0</v>
      </c>
      <c r="H101" s="433">
        <f t="shared" si="15"/>
        <v>0.0</v>
      </c>
      <c r="J101" s="434"/>
      <c r="K101" s="434"/>
      <c r="L101" s="434"/>
    </row>
    <row r="102" spans="8:8">
      <c r="A102" s="120" t="str">
        <f t="shared" si="14"/>
        <v>Tomato</v>
      </c>
      <c r="B102" s="433">
        <f t="shared" si="16" ref="B102:H109">B45</f>
        <v>0.0</v>
      </c>
      <c r="C102" s="433">
        <f t="shared" si="16"/>
        <v>0.0</v>
      </c>
      <c r="D102" s="433">
        <f t="shared" si="16"/>
        <v>0.0</v>
      </c>
      <c r="E102" s="433">
        <f t="shared" si="16"/>
        <v>0.0</v>
      </c>
      <c r="F102" s="433">
        <f t="shared" si="16"/>
        <v>0.0</v>
      </c>
      <c r="G102" s="433">
        <f t="shared" si="16"/>
        <v>0.0</v>
      </c>
      <c r="H102" s="433">
        <f t="shared" si="16"/>
        <v>0.0</v>
      </c>
      <c r="J102" s="434"/>
      <c r="K102" s="434"/>
      <c r="L102" s="434"/>
    </row>
    <row r="103" spans="8:8">
      <c r="A103" s="120" t="str">
        <f t="shared" si="14"/>
        <v>Okra</v>
      </c>
      <c r="B103" s="433">
        <f t="shared" si="16"/>
        <v>0.0</v>
      </c>
      <c r="C103" s="433">
        <f t="shared" si="16"/>
        <v>0.0</v>
      </c>
      <c r="D103" s="433">
        <f t="shared" si="16"/>
        <v>0.0</v>
      </c>
      <c r="E103" s="433">
        <f t="shared" si="16"/>
        <v>0.0</v>
      </c>
      <c r="F103" s="433">
        <f t="shared" si="16"/>
        <v>0.0</v>
      </c>
      <c r="G103" s="433">
        <f t="shared" si="16"/>
        <v>0.0</v>
      </c>
      <c r="H103" s="433">
        <f t="shared" si="16"/>
        <v>0.0</v>
      </c>
      <c r="J103" s="434"/>
      <c r="K103" s="434"/>
      <c r="L103" s="434"/>
    </row>
    <row r="104" spans="8:8">
      <c r="A104" s="120" t="str">
        <f t="shared" si="14"/>
        <v>Chilli</v>
      </c>
      <c r="B104" s="433">
        <f t="shared" si="16"/>
        <v>0.0</v>
      </c>
      <c r="C104" s="433">
        <f t="shared" si="16"/>
        <v>0.0</v>
      </c>
      <c r="D104" s="433">
        <f t="shared" si="16"/>
        <v>0.0</v>
      </c>
      <c r="E104" s="433">
        <f t="shared" si="16"/>
        <v>0.0</v>
      </c>
      <c r="F104" s="433">
        <f t="shared" si="16"/>
        <v>0.0</v>
      </c>
      <c r="G104" s="433">
        <f t="shared" si="16"/>
        <v>0.0</v>
      </c>
      <c r="H104" s="433">
        <f t="shared" si="16"/>
        <v>0.0</v>
      </c>
      <c r="J104" s="434"/>
      <c r="K104" s="434"/>
      <c r="L104" s="434"/>
    </row>
    <row r="105" spans="8:8">
      <c r="A105" s="120" t="str">
        <f t="shared" si="14"/>
        <v>Brinjal</v>
      </c>
      <c r="B105" s="433">
        <f t="shared" si="16"/>
        <v>0.0</v>
      </c>
      <c r="C105" s="433">
        <f t="shared" si="16"/>
        <v>0.0</v>
      </c>
      <c r="D105" s="433">
        <f t="shared" si="16"/>
        <v>0.0</v>
      </c>
      <c r="E105" s="433">
        <f t="shared" si="16"/>
        <v>0.0</v>
      </c>
      <c r="F105" s="433">
        <f t="shared" si="16"/>
        <v>0.0</v>
      </c>
      <c r="G105" s="433">
        <f t="shared" si="16"/>
        <v>0.0</v>
      </c>
      <c r="H105" s="433">
        <f t="shared" si="16"/>
        <v>0.0</v>
      </c>
      <c r="J105" s="434"/>
      <c r="K105" s="434"/>
      <c r="L105" s="434"/>
    </row>
    <row r="106" spans="8:8">
      <c r="A106" s="120">
        <f t="shared" si="14"/>
        <v>0.0</v>
      </c>
      <c r="B106" s="433">
        <f t="shared" si="16"/>
        <v>0.0</v>
      </c>
      <c r="C106" s="433">
        <f t="shared" si="16"/>
        <v>0.0</v>
      </c>
      <c r="D106" s="433">
        <f t="shared" si="16"/>
        <v>0.0</v>
      </c>
      <c r="E106" s="433">
        <f t="shared" si="16"/>
        <v>0.0</v>
      </c>
      <c r="F106" s="433">
        <f t="shared" si="16"/>
        <v>0.0</v>
      </c>
      <c r="G106" s="433">
        <f t="shared" si="16"/>
        <v>0.0</v>
      </c>
      <c r="H106" s="433">
        <f t="shared" si="16"/>
        <v>0.0</v>
      </c>
      <c r="J106" s="434"/>
      <c r="K106" s="434"/>
      <c r="L106" s="434"/>
    </row>
    <row r="107" spans="8:8">
      <c r="A107" s="120">
        <f t="shared" si="14"/>
        <v>0.0</v>
      </c>
      <c r="B107" s="433">
        <f t="shared" si="16"/>
        <v>0.0</v>
      </c>
      <c r="C107" s="433">
        <f t="shared" si="16"/>
        <v>0.0</v>
      </c>
      <c r="D107" s="433">
        <f t="shared" si="16"/>
        <v>0.0</v>
      </c>
      <c r="E107" s="433">
        <f t="shared" si="16"/>
        <v>0.0</v>
      </c>
      <c r="F107" s="433">
        <f t="shared" si="16"/>
        <v>0.0</v>
      </c>
      <c r="G107" s="433">
        <f t="shared" si="16"/>
        <v>0.0</v>
      </c>
      <c r="H107" s="433">
        <f t="shared" si="16"/>
        <v>0.0</v>
      </c>
      <c r="J107" s="434"/>
      <c r="K107" s="434"/>
      <c r="L107" s="434"/>
    </row>
    <row r="108" spans="8:8">
      <c r="A108" s="120">
        <f t="shared" si="14"/>
        <v>0.0</v>
      </c>
      <c r="B108" s="433">
        <f t="shared" si="16"/>
        <v>0.0</v>
      </c>
      <c r="C108" s="433">
        <f t="shared" si="16"/>
        <v>0.0</v>
      </c>
      <c r="D108" s="433">
        <f t="shared" si="16"/>
        <v>0.0</v>
      </c>
      <c r="E108" s="433">
        <f t="shared" si="16"/>
        <v>0.0</v>
      </c>
      <c r="F108" s="433">
        <f t="shared" si="16"/>
        <v>0.0</v>
      </c>
      <c r="G108" s="433">
        <f t="shared" si="16"/>
        <v>0.0</v>
      </c>
      <c r="H108" s="433">
        <f t="shared" si="16"/>
        <v>0.0</v>
      </c>
      <c r="J108" s="434"/>
      <c r="K108" s="434"/>
      <c r="L108" s="434"/>
    </row>
    <row r="109" spans="8:8">
      <c r="A109" s="120">
        <f t="shared" si="14"/>
        <v>0.0</v>
      </c>
      <c r="B109" s="433">
        <f t="shared" si="16"/>
        <v>0.0</v>
      </c>
      <c r="C109" s="433">
        <f t="shared" si="16"/>
        <v>0.0</v>
      </c>
      <c r="D109" s="433">
        <f t="shared" si="16"/>
        <v>0.0</v>
      </c>
      <c r="E109" s="433">
        <f t="shared" si="16"/>
        <v>0.0</v>
      </c>
      <c r="F109" s="433">
        <f t="shared" si="16"/>
        <v>0.0</v>
      </c>
      <c r="G109" s="433">
        <f t="shared" si="16"/>
        <v>0.0</v>
      </c>
      <c r="H109" s="433">
        <f t="shared" si="16"/>
        <v>0.0</v>
      </c>
      <c r="J109" s="434"/>
      <c r="K109" s="434"/>
      <c r="L109" s="434"/>
    </row>
    <row r="110" spans="8:8">
      <c r="A110" s="120">
        <f t="shared" si="17" ref="A110:A113">A53</f>
        <v>0.0</v>
      </c>
      <c r="B110" s="433"/>
      <c r="C110" s="433"/>
      <c r="D110" s="433"/>
      <c r="E110" s="433"/>
      <c r="F110" s="433"/>
      <c r="G110" s="433"/>
      <c r="H110" s="433"/>
      <c r="J110" s="434"/>
      <c r="K110" s="434"/>
      <c r="L110" s="434"/>
    </row>
    <row r="111" spans="8:8">
      <c r="A111" s="120">
        <f t="shared" si="17"/>
        <v>0.0</v>
      </c>
      <c r="B111" s="433"/>
      <c r="C111" s="433"/>
      <c r="D111" s="433"/>
      <c r="E111" s="433"/>
      <c r="F111" s="433"/>
      <c r="G111" s="433"/>
      <c r="H111" s="433"/>
      <c r="J111" s="434"/>
      <c r="K111" s="434"/>
      <c r="L111" s="434"/>
    </row>
    <row r="112" spans="8:8">
      <c r="A112" s="120">
        <f t="shared" si="17"/>
        <v>0.0</v>
      </c>
      <c r="B112" s="433"/>
      <c r="C112" s="433"/>
      <c r="D112" s="433"/>
      <c r="E112" s="433"/>
      <c r="F112" s="433"/>
      <c r="G112" s="433"/>
      <c r="H112" s="433"/>
      <c r="J112" s="434"/>
      <c r="K112" s="434"/>
      <c r="L112" s="434"/>
    </row>
    <row r="113" spans="8:8">
      <c r="A113" s="120" t="str">
        <f t="shared" si="17"/>
        <v>Pomegranate</v>
      </c>
      <c r="B113" s="433">
        <f t="shared" si="18" ref="B113:H116">B56</f>
        <v>0.0</v>
      </c>
      <c r="C113" s="433">
        <f t="shared" si="18"/>
        <v>0.0</v>
      </c>
      <c r="D113" s="433">
        <f t="shared" si="18"/>
        <v>0.0</v>
      </c>
      <c r="E113" s="433">
        <f t="shared" si="18"/>
        <v>0.0</v>
      </c>
      <c r="F113" s="433">
        <f t="shared" si="18"/>
        <v>0.0</v>
      </c>
      <c r="G113" s="433">
        <f t="shared" si="18"/>
        <v>0.0</v>
      </c>
      <c r="H113" s="433">
        <f t="shared" si="18"/>
        <v>0.0</v>
      </c>
      <c r="J113" s="434"/>
      <c r="K113" s="434"/>
      <c r="L113" s="434"/>
    </row>
    <row r="114" spans="8:8">
      <c r="A114" s="120" t="str">
        <f>A57</f>
        <v>Custard Apple</v>
      </c>
      <c r="B114" s="433">
        <f t="shared" si="18"/>
        <v>0.0</v>
      </c>
      <c r="C114" s="433">
        <f t="shared" si="18"/>
        <v>0.0</v>
      </c>
      <c r="D114" s="433">
        <f t="shared" si="18"/>
        <v>0.0</v>
      </c>
      <c r="E114" s="433">
        <f t="shared" si="18"/>
        <v>0.0</v>
      </c>
      <c r="F114" s="433">
        <f t="shared" si="18"/>
        <v>0.0</v>
      </c>
      <c r="G114" s="433">
        <f t="shared" si="18"/>
        <v>0.0</v>
      </c>
      <c r="H114" s="433">
        <f t="shared" si="18"/>
        <v>0.0</v>
      </c>
      <c r="J114" s="434"/>
      <c r="K114" s="434"/>
      <c r="L114" s="434"/>
    </row>
    <row r="115" spans="8:8">
      <c r="A115" s="120" t="str">
        <f>A58</f>
        <v>Guava</v>
      </c>
      <c r="B115" s="433">
        <f t="shared" si="18"/>
        <v>0.0</v>
      </c>
      <c r="C115" s="433">
        <f t="shared" si="18"/>
        <v>0.0</v>
      </c>
      <c r="D115" s="433">
        <f t="shared" si="18"/>
        <v>0.0</v>
      </c>
      <c r="E115" s="433">
        <f t="shared" si="18"/>
        <v>0.0</v>
      </c>
      <c r="F115" s="433">
        <f t="shared" si="18"/>
        <v>0.0</v>
      </c>
      <c r="G115" s="433">
        <f t="shared" si="18"/>
        <v>0.0</v>
      </c>
      <c r="H115" s="433">
        <f t="shared" si="18"/>
        <v>0.0</v>
      </c>
      <c r="J115" s="434"/>
      <c r="K115" s="434"/>
      <c r="L115" s="434"/>
    </row>
    <row r="116" spans="8:8">
      <c r="A116" s="120" t="str">
        <f>A59</f>
        <v>Citrus</v>
      </c>
      <c r="B116" s="433">
        <f t="shared" si="18"/>
        <v>0.0</v>
      </c>
      <c r="C116" s="433">
        <f t="shared" si="18"/>
        <v>0.0</v>
      </c>
      <c r="D116" s="433">
        <f t="shared" si="18"/>
        <v>0.0</v>
      </c>
      <c r="E116" s="433">
        <f t="shared" si="18"/>
        <v>0.0</v>
      </c>
      <c r="F116" s="433">
        <f t="shared" si="18"/>
        <v>0.0</v>
      </c>
      <c r="G116" s="433">
        <f t="shared" si="18"/>
        <v>0.0</v>
      </c>
      <c r="H116" s="433">
        <f t="shared" si="18"/>
        <v>0.0</v>
      </c>
      <c r="J116" s="434"/>
      <c r="K116" s="434"/>
      <c r="L116" s="434"/>
    </row>
    <row r="117" spans="8:8">
      <c r="A117" s="120"/>
      <c r="B117" s="433"/>
      <c r="C117" s="433"/>
      <c r="D117" s="433"/>
      <c r="E117" s="433"/>
      <c r="F117" s="433"/>
      <c r="G117" s="433"/>
      <c r="H117" s="433"/>
      <c r="J117" s="434"/>
      <c r="K117" s="434"/>
      <c r="L117" s="434"/>
    </row>
    <row r="118" spans="8:8">
      <c r="A118" s="120"/>
      <c r="B118" s="433"/>
      <c r="C118" s="433"/>
      <c r="D118" s="433"/>
      <c r="E118" s="433"/>
      <c r="F118" s="433"/>
      <c r="G118" s="433"/>
      <c r="H118" s="433"/>
      <c r="J118" s="434"/>
      <c r="K118" s="434"/>
      <c r="L118" s="434"/>
    </row>
    <row r="119" spans="8:8">
      <c r="A119" s="348" t="s">
        <v>140</v>
      </c>
      <c r="B119" s="120"/>
      <c r="C119" s="120"/>
      <c r="D119" s="120"/>
      <c r="E119" s="120"/>
      <c r="F119" s="120"/>
      <c r="G119" s="120"/>
      <c r="H119" s="120"/>
    </row>
    <row r="120" spans="8:8">
      <c r="A120" s="136" t="str">
        <f t="shared" si="19" ref="A120:A141">A68</f>
        <v>Soybean</v>
      </c>
      <c r="B120" s="428">
        <f t="shared" si="20" ref="B120:H129">B68-(B68*$G$6)</f>
        <v>7240.995000000001</v>
      </c>
      <c r="C120" s="428">
        <f t="shared" si="20"/>
        <v>8045.55</v>
      </c>
      <c r="D120" s="428">
        <f t="shared" si="20"/>
        <v>8850.105</v>
      </c>
      <c r="E120" s="428">
        <f t="shared" si="20"/>
        <v>9654.66</v>
      </c>
      <c r="F120" s="428">
        <f t="shared" si="20"/>
        <v>10459.215</v>
      </c>
      <c r="G120" s="428">
        <f t="shared" si="20"/>
        <v>11263.77</v>
      </c>
      <c r="H120" s="428">
        <f t="shared" si="20"/>
        <v>12068.325</v>
      </c>
    </row>
    <row r="121" spans="8:8">
      <c r="A121" s="136" t="str">
        <f t="shared" si="19"/>
        <v>Red Gram/Tur</v>
      </c>
      <c r="B121" s="428">
        <f t="shared" si="20"/>
        <v>0.0</v>
      </c>
      <c r="C121" s="428">
        <f t="shared" si="20"/>
        <v>0.0</v>
      </c>
      <c r="D121" s="428">
        <f t="shared" si="20"/>
        <v>0.0</v>
      </c>
      <c r="E121" s="428">
        <f t="shared" si="20"/>
        <v>0.0</v>
      </c>
      <c r="F121" s="428">
        <f t="shared" si="20"/>
        <v>0.0</v>
      </c>
      <c r="G121" s="428">
        <f t="shared" si="20"/>
        <v>0.0</v>
      </c>
      <c r="H121" s="428">
        <f t="shared" si="20"/>
        <v>0.0</v>
      </c>
    </row>
    <row r="122" spans="8:8">
      <c r="A122" s="136" t="str">
        <f t="shared" si="19"/>
        <v>Paddy/Rice</v>
      </c>
      <c r="B122" s="428">
        <f t="shared" si="20"/>
        <v>0.0</v>
      </c>
      <c r="C122" s="428">
        <f t="shared" si="20"/>
        <v>0.0</v>
      </c>
      <c r="D122" s="428">
        <f t="shared" si="20"/>
        <v>0.0</v>
      </c>
      <c r="E122" s="428">
        <f t="shared" si="20"/>
        <v>0.0</v>
      </c>
      <c r="F122" s="428">
        <f t="shared" si="20"/>
        <v>0.0</v>
      </c>
      <c r="G122" s="428">
        <f t="shared" si="20"/>
        <v>0.0</v>
      </c>
      <c r="H122" s="428">
        <f t="shared" si="20"/>
        <v>0.0</v>
      </c>
    </row>
    <row r="123" spans="8:8">
      <c r="A123" s="136" t="str">
        <f t="shared" si="19"/>
        <v>Green Gram/ Moong</v>
      </c>
      <c r="B123" s="428">
        <f t="shared" si="20"/>
        <v>0.0</v>
      </c>
      <c r="C123" s="428">
        <f t="shared" si="20"/>
        <v>0.0</v>
      </c>
      <c r="D123" s="428">
        <f t="shared" si="20"/>
        <v>0.0</v>
      </c>
      <c r="E123" s="428">
        <f t="shared" si="20"/>
        <v>0.0</v>
      </c>
      <c r="F123" s="428">
        <f t="shared" si="20"/>
        <v>0.0</v>
      </c>
      <c r="G123" s="428">
        <f t="shared" si="20"/>
        <v>0.0</v>
      </c>
      <c r="H123" s="428">
        <f t="shared" si="20"/>
        <v>0.0</v>
      </c>
    </row>
    <row r="124" spans="8:8">
      <c r="A124" s="136" t="str">
        <f t="shared" si="19"/>
        <v>Maize</v>
      </c>
      <c r="B124" s="428">
        <f t="shared" si="20"/>
        <v>0.0</v>
      </c>
      <c r="C124" s="428">
        <f t="shared" si="20"/>
        <v>0.0</v>
      </c>
      <c r="D124" s="428">
        <f t="shared" si="20"/>
        <v>0.0</v>
      </c>
      <c r="E124" s="428">
        <f t="shared" si="20"/>
        <v>0.0</v>
      </c>
      <c r="F124" s="428">
        <f t="shared" si="20"/>
        <v>0.0</v>
      </c>
      <c r="G124" s="428">
        <f t="shared" si="20"/>
        <v>0.0</v>
      </c>
      <c r="H124" s="428">
        <f t="shared" si="20"/>
        <v>0.0</v>
      </c>
    </row>
    <row r="125" spans="8:8">
      <c r="A125" s="136" t="str">
        <f t="shared" si="19"/>
        <v>Black Gram/Udid</v>
      </c>
      <c r="B125" s="428">
        <f t="shared" si="20"/>
        <v>0.0</v>
      </c>
      <c r="C125" s="428">
        <f t="shared" si="20"/>
        <v>0.0</v>
      </c>
      <c r="D125" s="428">
        <f t="shared" si="20"/>
        <v>0.0</v>
      </c>
      <c r="E125" s="428">
        <f t="shared" si="20"/>
        <v>0.0</v>
      </c>
      <c r="F125" s="428">
        <f t="shared" si="20"/>
        <v>0.0</v>
      </c>
      <c r="G125" s="428">
        <f t="shared" si="20"/>
        <v>0.0</v>
      </c>
      <c r="H125" s="428">
        <f t="shared" si="20"/>
        <v>0.0</v>
      </c>
    </row>
    <row r="126" spans="8:8">
      <c r="A126" s="136" t="str">
        <f t="shared" si="19"/>
        <v>Bajra</v>
      </c>
      <c r="B126" s="428">
        <f t="shared" si="20"/>
        <v>0.0</v>
      </c>
      <c r="C126" s="428">
        <f t="shared" si="20"/>
        <v>0.0</v>
      </c>
      <c r="D126" s="428">
        <f t="shared" si="20"/>
        <v>0.0</v>
      </c>
      <c r="E126" s="428">
        <f t="shared" si="20"/>
        <v>0.0</v>
      </c>
      <c r="F126" s="428">
        <f t="shared" si="20"/>
        <v>0.0</v>
      </c>
      <c r="G126" s="428">
        <f t="shared" si="20"/>
        <v>0.0</v>
      </c>
      <c r="H126" s="428">
        <f t="shared" si="20"/>
        <v>0.0</v>
      </c>
    </row>
    <row r="127" spans="8:8">
      <c r="A127" s="136" t="str">
        <f t="shared" si="19"/>
        <v>Jawar</v>
      </c>
      <c r="B127" s="428">
        <f t="shared" si="20"/>
        <v>0.0</v>
      </c>
      <c r="C127" s="428">
        <f t="shared" si="20"/>
        <v>0.0</v>
      </c>
      <c r="D127" s="428">
        <f t="shared" si="20"/>
        <v>0.0</v>
      </c>
      <c r="E127" s="428">
        <f t="shared" si="20"/>
        <v>0.0</v>
      </c>
      <c r="F127" s="428">
        <f t="shared" si="20"/>
        <v>0.0</v>
      </c>
      <c r="G127" s="428">
        <f t="shared" si="20"/>
        <v>0.0</v>
      </c>
      <c r="H127" s="428">
        <f t="shared" si="20"/>
        <v>0.0</v>
      </c>
    </row>
    <row r="128" spans="8:8">
      <c r="A128" s="136" t="str">
        <f t="shared" si="19"/>
        <v>Sunflower</v>
      </c>
      <c r="B128" s="428">
        <f t="shared" si="20"/>
        <v>0.0</v>
      </c>
      <c r="C128" s="428">
        <f t="shared" si="20"/>
        <v>0.0</v>
      </c>
      <c r="D128" s="428">
        <f t="shared" si="20"/>
        <v>0.0</v>
      </c>
      <c r="E128" s="428">
        <f t="shared" si="20"/>
        <v>0.0</v>
      </c>
      <c r="F128" s="428">
        <f t="shared" si="20"/>
        <v>0.0</v>
      </c>
      <c r="G128" s="428">
        <f t="shared" si="20"/>
        <v>0.0</v>
      </c>
      <c r="H128" s="428">
        <f t="shared" si="20"/>
        <v>0.0</v>
      </c>
    </row>
    <row r="129" spans="8:8">
      <c r="A129" s="136" t="str">
        <f t="shared" si="19"/>
        <v>Wheat</v>
      </c>
      <c r="B129" s="428">
        <f t="shared" si="20"/>
        <v>0.0</v>
      </c>
      <c r="C129" s="428">
        <f t="shared" si="20"/>
        <v>0.0</v>
      </c>
      <c r="D129" s="428">
        <f t="shared" si="20"/>
        <v>0.0</v>
      </c>
      <c r="E129" s="428">
        <f t="shared" si="20"/>
        <v>0.0</v>
      </c>
      <c r="F129" s="428">
        <f t="shared" si="20"/>
        <v>0.0</v>
      </c>
      <c r="G129" s="428">
        <f t="shared" si="20"/>
        <v>0.0</v>
      </c>
      <c r="H129" s="428">
        <f t="shared" si="20"/>
        <v>0.0</v>
      </c>
    </row>
    <row r="130" spans="8:8">
      <c r="A130" s="136" t="str">
        <f t="shared" si="19"/>
        <v>Bengal Gram/Channa</v>
      </c>
      <c r="B130" s="428">
        <f t="shared" si="21" ref="B130:H139">B78-(B78*$G$6)</f>
        <v>5430.74625</v>
      </c>
      <c r="C130" s="428">
        <f t="shared" si="21"/>
        <v>6034.1625</v>
      </c>
      <c r="D130" s="428">
        <f t="shared" si="21"/>
        <v>6637.578750000001</v>
      </c>
      <c r="E130" s="428">
        <f t="shared" si="21"/>
        <v>7240.995000000001</v>
      </c>
      <c r="F130" s="428">
        <f t="shared" si="21"/>
        <v>7844.411249999999</v>
      </c>
      <c r="G130" s="428">
        <f t="shared" si="21"/>
        <v>8447.827500000001</v>
      </c>
      <c r="H130" s="428">
        <f t="shared" si="21"/>
        <v>9051.24375</v>
      </c>
    </row>
    <row r="131" spans="8:8">
      <c r="A131" s="136" t="str">
        <f t="shared" si="19"/>
        <v>Jawar</v>
      </c>
      <c r="B131" s="428">
        <f t="shared" si="21"/>
        <v>2815.9425</v>
      </c>
      <c r="C131" s="428">
        <f t="shared" si="21"/>
        <v>3128.825</v>
      </c>
      <c r="D131" s="428">
        <f t="shared" si="21"/>
        <v>3441.7075</v>
      </c>
      <c r="E131" s="428">
        <f t="shared" si="21"/>
        <v>3754.5899999999997</v>
      </c>
      <c r="F131" s="428">
        <f t="shared" si="21"/>
        <v>4067.4725000000003</v>
      </c>
      <c r="G131" s="428">
        <f t="shared" si="21"/>
        <v>4380.355</v>
      </c>
      <c r="H131" s="428">
        <f t="shared" si="21"/>
        <v>4693.2375</v>
      </c>
    </row>
    <row r="132" spans="8:8">
      <c r="A132" s="136" t="str">
        <f t="shared" si="19"/>
        <v>Maize</v>
      </c>
      <c r="B132" s="428">
        <f t="shared" si="21"/>
        <v>0.0</v>
      </c>
      <c r="C132" s="428">
        <f t="shared" si="21"/>
        <v>0.0</v>
      </c>
      <c r="D132" s="428">
        <f t="shared" si="21"/>
        <v>0.0</v>
      </c>
      <c r="E132" s="428">
        <f t="shared" si="21"/>
        <v>0.0</v>
      </c>
      <c r="F132" s="428">
        <f t="shared" si="21"/>
        <v>0.0</v>
      </c>
      <c r="G132" s="428">
        <f t="shared" si="21"/>
        <v>0.0</v>
      </c>
      <c r="H132" s="428">
        <f t="shared" si="21"/>
        <v>0.0</v>
      </c>
    </row>
    <row r="133" spans="8:8">
      <c r="A133" s="136" t="str">
        <f t="shared" si="19"/>
        <v>Safflower</v>
      </c>
      <c r="B133" s="428">
        <f t="shared" si="21"/>
        <v>0.0</v>
      </c>
      <c r="C133" s="428">
        <f t="shared" si="21"/>
        <v>0.0</v>
      </c>
      <c r="D133" s="428">
        <f t="shared" si="21"/>
        <v>0.0</v>
      </c>
      <c r="E133" s="428">
        <f t="shared" si="21"/>
        <v>0.0</v>
      </c>
      <c r="F133" s="428">
        <f t="shared" si="21"/>
        <v>0.0</v>
      </c>
      <c r="G133" s="428">
        <f t="shared" si="21"/>
        <v>0.0</v>
      </c>
      <c r="H133" s="428">
        <f t="shared" si="21"/>
        <v>0.0</v>
      </c>
    </row>
    <row r="134" spans="8:8">
      <c r="A134" s="136">
        <f t="shared" si="19"/>
        <v>0.0</v>
      </c>
      <c r="B134" s="428">
        <f t="shared" si="21"/>
        <v>0.0</v>
      </c>
      <c r="C134" s="428">
        <f t="shared" si="21"/>
        <v>0.0</v>
      </c>
      <c r="D134" s="428">
        <f t="shared" si="21"/>
        <v>0.0</v>
      </c>
      <c r="E134" s="428">
        <f t="shared" si="21"/>
        <v>0.0</v>
      </c>
      <c r="F134" s="428">
        <f t="shared" si="21"/>
        <v>0.0</v>
      </c>
      <c r="G134" s="428">
        <f t="shared" si="21"/>
        <v>0.0</v>
      </c>
      <c r="H134" s="428">
        <f t="shared" si="21"/>
        <v>0.0</v>
      </c>
    </row>
    <row r="135" spans="8:8">
      <c r="A135" s="136">
        <f t="shared" si="19"/>
        <v>0.0</v>
      </c>
      <c r="B135" s="428">
        <f t="shared" si="21"/>
        <v>0.0</v>
      </c>
      <c r="C135" s="428">
        <f t="shared" si="21"/>
        <v>0.0</v>
      </c>
      <c r="D135" s="428">
        <f t="shared" si="21"/>
        <v>0.0</v>
      </c>
      <c r="E135" s="428">
        <f t="shared" si="21"/>
        <v>0.0</v>
      </c>
      <c r="F135" s="428">
        <f t="shared" si="21"/>
        <v>0.0</v>
      </c>
      <c r="G135" s="428">
        <f t="shared" si="21"/>
        <v>0.0</v>
      </c>
      <c r="H135" s="428">
        <f t="shared" si="21"/>
        <v>0.0</v>
      </c>
    </row>
    <row r="136" spans="8:8">
      <c r="A136" s="136">
        <f t="shared" si="19"/>
        <v>0.0</v>
      </c>
      <c r="B136" s="428">
        <f t="shared" si="21"/>
        <v>0.0</v>
      </c>
      <c r="C136" s="428">
        <f t="shared" si="21"/>
        <v>0.0</v>
      </c>
      <c r="D136" s="428">
        <f t="shared" si="21"/>
        <v>0.0</v>
      </c>
      <c r="E136" s="428">
        <f t="shared" si="21"/>
        <v>0.0</v>
      </c>
      <c r="F136" s="428">
        <f t="shared" si="21"/>
        <v>0.0</v>
      </c>
      <c r="G136" s="428">
        <f t="shared" si="21"/>
        <v>0.0</v>
      </c>
      <c r="H136" s="428">
        <f t="shared" si="21"/>
        <v>0.0</v>
      </c>
    </row>
    <row r="137" spans="8:8">
      <c r="A137" s="136" t="str">
        <f t="shared" si="19"/>
        <v>Groundnut</v>
      </c>
      <c r="B137" s="428">
        <f t="shared" si="21"/>
        <v>0.0</v>
      </c>
      <c r="C137" s="428">
        <f t="shared" si="21"/>
        <v>0.0</v>
      </c>
      <c r="D137" s="428">
        <f t="shared" si="21"/>
        <v>0.0</v>
      </c>
      <c r="E137" s="428">
        <f t="shared" si="21"/>
        <v>0.0</v>
      </c>
      <c r="F137" s="428">
        <f t="shared" si="21"/>
        <v>0.0</v>
      </c>
      <c r="G137" s="428">
        <f t="shared" si="21"/>
        <v>0.0</v>
      </c>
      <c r="H137" s="428">
        <f t="shared" si="21"/>
        <v>0.0</v>
      </c>
    </row>
    <row r="138" spans="8:8">
      <c r="A138" s="136">
        <f t="shared" si="19"/>
        <v>0.0</v>
      </c>
      <c r="B138" s="428">
        <f t="shared" si="21"/>
        <v>0.0</v>
      </c>
      <c r="C138" s="428">
        <f t="shared" si="21"/>
        <v>0.0</v>
      </c>
      <c r="D138" s="428">
        <f t="shared" si="21"/>
        <v>0.0</v>
      </c>
      <c r="E138" s="428">
        <f t="shared" si="21"/>
        <v>0.0</v>
      </c>
      <c r="F138" s="428">
        <f t="shared" si="21"/>
        <v>0.0</v>
      </c>
      <c r="G138" s="428">
        <f t="shared" si="21"/>
        <v>0.0</v>
      </c>
      <c r="H138" s="428">
        <f t="shared" si="21"/>
        <v>0.0</v>
      </c>
    </row>
    <row r="139" spans="8:8">
      <c r="A139" s="136">
        <f t="shared" si="19"/>
        <v>0.0</v>
      </c>
      <c r="B139" s="428">
        <f t="shared" si="21"/>
        <v>0.0</v>
      </c>
      <c r="C139" s="428">
        <f t="shared" si="21"/>
        <v>0.0</v>
      </c>
      <c r="D139" s="428">
        <f t="shared" si="21"/>
        <v>0.0</v>
      </c>
      <c r="E139" s="428">
        <f t="shared" si="21"/>
        <v>0.0</v>
      </c>
      <c r="F139" s="428">
        <f t="shared" si="21"/>
        <v>0.0</v>
      </c>
      <c r="G139" s="428">
        <f t="shared" si="21"/>
        <v>0.0</v>
      </c>
      <c r="H139" s="428">
        <f t="shared" si="21"/>
        <v>0.0</v>
      </c>
    </row>
    <row r="140" spans="8:8">
      <c r="A140" s="136">
        <f t="shared" si="19"/>
        <v>0.0</v>
      </c>
      <c r="B140" s="428">
        <f t="shared" si="22" ref="B140:H141">B88-(B88*$G$6)</f>
        <v>0.0</v>
      </c>
      <c r="C140" s="428">
        <f t="shared" si="22"/>
        <v>0.0</v>
      </c>
      <c r="D140" s="428">
        <f t="shared" si="22"/>
        <v>0.0</v>
      </c>
      <c r="E140" s="428">
        <f t="shared" si="22"/>
        <v>0.0</v>
      </c>
      <c r="F140" s="428">
        <f t="shared" si="22"/>
        <v>0.0</v>
      </c>
      <c r="G140" s="428">
        <f t="shared" si="22"/>
        <v>0.0</v>
      </c>
      <c r="H140" s="428">
        <f t="shared" si="22"/>
        <v>0.0</v>
      </c>
    </row>
    <row r="141" spans="8:8">
      <c r="A141" s="136">
        <f t="shared" si="19"/>
        <v>0.0</v>
      </c>
      <c r="B141" s="428">
        <f t="shared" si="22"/>
        <v>0.0</v>
      </c>
      <c r="C141" s="428">
        <f t="shared" si="22"/>
        <v>0.0</v>
      </c>
      <c r="D141" s="428">
        <f t="shared" si="22"/>
        <v>0.0</v>
      </c>
      <c r="E141" s="428">
        <f t="shared" si="22"/>
        <v>0.0</v>
      </c>
      <c r="F141" s="428">
        <f t="shared" si="22"/>
        <v>0.0</v>
      </c>
      <c r="G141" s="428">
        <f t="shared" si="22"/>
        <v>0.0</v>
      </c>
      <c r="H141" s="428">
        <f t="shared" si="22"/>
        <v>0.0</v>
      </c>
    </row>
    <row r="142" spans="8:8">
      <c r="A142" s="136"/>
      <c r="B142" s="428"/>
      <c r="C142" s="428"/>
      <c r="D142" s="428"/>
      <c r="E142" s="428"/>
      <c r="F142" s="428"/>
      <c r="G142" s="428"/>
      <c r="H142" s="428"/>
    </row>
    <row r="143" spans="8:8">
      <c r="A143" s="348" t="str">
        <f t="shared" si="23" ref="A143:A161">A91</f>
        <v>Fruit  &amp; Vegetables Crop Production Details</v>
      </c>
      <c r="B143" s="428"/>
      <c r="C143" s="428"/>
      <c r="D143" s="428"/>
      <c r="E143" s="428"/>
      <c r="F143" s="428"/>
      <c r="G143" s="428"/>
      <c r="H143" s="428"/>
    </row>
    <row r="144" spans="8:8">
      <c r="A144" s="136" t="str">
        <f t="shared" si="23"/>
        <v>Onion</v>
      </c>
      <c r="B144" s="428">
        <f t="shared" si="24" ref="B144:H153">B92-(B92*$G$7)</f>
        <v>0.0</v>
      </c>
      <c r="C144" s="428">
        <f t="shared" si="24"/>
        <v>0.0</v>
      </c>
      <c r="D144" s="428">
        <f t="shared" si="24"/>
        <v>0.0</v>
      </c>
      <c r="E144" s="428">
        <f t="shared" si="24"/>
        <v>0.0</v>
      </c>
      <c r="F144" s="428">
        <f t="shared" si="24"/>
        <v>0.0</v>
      </c>
      <c r="G144" s="428">
        <f t="shared" si="24"/>
        <v>0.0</v>
      </c>
      <c r="H144" s="428">
        <f t="shared" si="24"/>
        <v>0.0</v>
      </c>
    </row>
    <row r="145" spans="8:8">
      <c r="A145" s="136" t="str">
        <f t="shared" si="23"/>
        <v>Tomato</v>
      </c>
      <c r="B145" s="428">
        <f t="shared" si="24"/>
        <v>0.0</v>
      </c>
      <c r="C145" s="428">
        <f t="shared" si="24"/>
        <v>0.0</v>
      </c>
      <c r="D145" s="428">
        <f t="shared" si="24"/>
        <v>0.0</v>
      </c>
      <c r="E145" s="428">
        <f t="shared" si="24"/>
        <v>0.0</v>
      </c>
      <c r="F145" s="428">
        <f t="shared" si="24"/>
        <v>0.0</v>
      </c>
      <c r="G145" s="428">
        <f t="shared" si="24"/>
        <v>0.0</v>
      </c>
      <c r="H145" s="428">
        <f t="shared" si="24"/>
        <v>0.0</v>
      </c>
    </row>
    <row r="146" spans="8:8">
      <c r="A146" s="136" t="str">
        <f t="shared" si="23"/>
        <v>Okra</v>
      </c>
      <c r="B146" s="428">
        <f t="shared" si="24"/>
        <v>0.0</v>
      </c>
      <c r="C146" s="428">
        <f t="shared" si="24"/>
        <v>0.0</v>
      </c>
      <c r="D146" s="428">
        <f t="shared" si="24"/>
        <v>0.0</v>
      </c>
      <c r="E146" s="428">
        <f t="shared" si="24"/>
        <v>0.0</v>
      </c>
      <c r="F146" s="428">
        <f t="shared" si="24"/>
        <v>0.0</v>
      </c>
      <c r="G146" s="428">
        <f t="shared" si="24"/>
        <v>0.0</v>
      </c>
      <c r="H146" s="428">
        <f t="shared" si="24"/>
        <v>0.0</v>
      </c>
    </row>
    <row r="147" spans="8:8">
      <c r="A147" s="136" t="str">
        <f t="shared" si="23"/>
        <v>Chilli</v>
      </c>
      <c r="B147" s="428">
        <f t="shared" si="24"/>
        <v>0.0</v>
      </c>
      <c r="C147" s="428">
        <f t="shared" si="24"/>
        <v>0.0</v>
      </c>
      <c r="D147" s="428">
        <f t="shared" si="24"/>
        <v>0.0</v>
      </c>
      <c r="E147" s="428">
        <f t="shared" si="24"/>
        <v>0.0</v>
      </c>
      <c r="F147" s="428">
        <f t="shared" si="24"/>
        <v>0.0</v>
      </c>
      <c r="G147" s="428">
        <f t="shared" si="24"/>
        <v>0.0</v>
      </c>
      <c r="H147" s="428">
        <f t="shared" si="24"/>
        <v>0.0</v>
      </c>
    </row>
    <row r="148" spans="8:8">
      <c r="A148" s="136" t="str">
        <f t="shared" si="23"/>
        <v>Potato</v>
      </c>
      <c r="B148" s="428">
        <f t="shared" si="24"/>
        <v>0.0</v>
      </c>
      <c r="C148" s="428">
        <f t="shared" si="24"/>
        <v>0.0</v>
      </c>
      <c r="D148" s="428">
        <f t="shared" si="24"/>
        <v>0.0</v>
      </c>
      <c r="E148" s="428">
        <f t="shared" si="24"/>
        <v>0.0</v>
      </c>
      <c r="F148" s="428">
        <f t="shared" si="24"/>
        <v>0.0</v>
      </c>
      <c r="G148" s="428">
        <f t="shared" si="24"/>
        <v>0.0</v>
      </c>
      <c r="H148" s="428">
        <f t="shared" si="24"/>
        <v>0.0</v>
      </c>
    </row>
    <row r="149" spans="8:8">
      <c r="A149" s="136">
        <f t="shared" si="23"/>
        <v>0.0</v>
      </c>
      <c r="B149" s="428">
        <f t="shared" si="24"/>
        <v>0.0</v>
      </c>
      <c r="C149" s="428">
        <f t="shared" si="24"/>
        <v>0.0</v>
      </c>
      <c r="D149" s="428">
        <f t="shared" si="24"/>
        <v>0.0</v>
      </c>
      <c r="E149" s="428">
        <f t="shared" si="24"/>
        <v>0.0</v>
      </c>
      <c r="F149" s="428">
        <f t="shared" si="24"/>
        <v>0.0</v>
      </c>
      <c r="G149" s="428">
        <f t="shared" si="24"/>
        <v>0.0</v>
      </c>
      <c r="H149" s="428">
        <f t="shared" si="24"/>
        <v>0.0</v>
      </c>
    </row>
    <row r="150" spans="8:8">
      <c r="A150" s="136">
        <f t="shared" si="23"/>
        <v>0.0</v>
      </c>
      <c r="B150" s="428">
        <f t="shared" si="24"/>
        <v>0.0</v>
      </c>
      <c r="C150" s="428">
        <f t="shared" si="24"/>
        <v>0.0</v>
      </c>
      <c r="D150" s="428">
        <f t="shared" si="24"/>
        <v>0.0</v>
      </c>
      <c r="E150" s="428">
        <f t="shared" si="24"/>
        <v>0.0</v>
      </c>
      <c r="F150" s="428">
        <f t="shared" si="24"/>
        <v>0.0</v>
      </c>
      <c r="G150" s="428">
        <f t="shared" si="24"/>
        <v>0.0</v>
      </c>
      <c r="H150" s="428">
        <f t="shared" si="24"/>
        <v>0.0</v>
      </c>
    </row>
    <row r="151" spans="8:8">
      <c r="A151" s="136">
        <f t="shared" si="23"/>
        <v>0.0</v>
      </c>
      <c r="B151" s="428">
        <f t="shared" si="24"/>
        <v>0.0</v>
      </c>
      <c r="C151" s="428">
        <f t="shared" si="24"/>
        <v>0.0</v>
      </c>
      <c r="D151" s="428">
        <f t="shared" si="24"/>
        <v>0.0</v>
      </c>
      <c r="E151" s="428">
        <f t="shared" si="24"/>
        <v>0.0</v>
      </c>
      <c r="F151" s="428">
        <f t="shared" si="24"/>
        <v>0.0</v>
      </c>
      <c r="G151" s="428">
        <f t="shared" si="24"/>
        <v>0.0</v>
      </c>
      <c r="H151" s="428">
        <f t="shared" si="24"/>
        <v>0.0</v>
      </c>
    </row>
    <row r="152" spans="8:8">
      <c r="A152" s="136">
        <f t="shared" si="23"/>
        <v>0.0</v>
      </c>
      <c r="B152" s="428">
        <f t="shared" si="24"/>
        <v>0.0</v>
      </c>
      <c r="C152" s="428">
        <f t="shared" si="24"/>
        <v>0.0</v>
      </c>
      <c r="D152" s="428">
        <f t="shared" si="24"/>
        <v>0.0</v>
      </c>
      <c r="E152" s="428">
        <f t="shared" si="24"/>
        <v>0.0</v>
      </c>
      <c r="F152" s="428">
        <f t="shared" si="24"/>
        <v>0.0</v>
      </c>
      <c r="G152" s="428">
        <f t="shared" si="24"/>
        <v>0.0</v>
      </c>
      <c r="H152" s="428">
        <f t="shared" si="24"/>
        <v>0.0</v>
      </c>
    </row>
    <row r="153" spans="8:8">
      <c r="A153" s="136" t="str">
        <f t="shared" si="23"/>
        <v>Onion</v>
      </c>
      <c r="B153" s="428">
        <f t="shared" si="24"/>
        <v>0.0</v>
      </c>
      <c r="C153" s="428">
        <f t="shared" si="24"/>
        <v>0.0</v>
      </c>
      <c r="D153" s="428">
        <f t="shared" si="24"/>
        <v>0.0</v>
      </c>
      <c r="E153" s="428">
        <f t="shared" si="24"/>
        <v>0.0</v>
      </c>
      <c r="F153" s="428">
        <f t="shared" si="24"/>
        <v>0.0</v>
      </c>
      <c r="G153" s="428">
        <f t="shared" si="24"/>
        <v>0.0</v>
      </c>
      <c r="H153" s="428">
        <f t="shared" si="24"/>
        <v>0.0</v>
      </c>
    </row>
    <row r="154" spans="8:8">
      <c r="A154" s="136" t="str">
        <f t="shared" si="23"/>
        <v>Tomato</v>
      </c>
      <c r="B154" s="428">
        <f t="shared" si="25" ref="B154:H161">B102-(B102*$G$7)</f>
        <v>0.0</v>
      </c>
      <c r="C154" s="428">
        <f t="shared" si="25"/>
        <v>0.0</v>
      </c>
      <c r="D154" s="428">
        <f t="shared" si="25"/>
        <v>0.0</v>
      </c>
      <c r="E154" s="428">
        <f t="shared" si="25"/>
        <v>0.0</v>
      </c>
      <c r="F154" s="428">
        <f t="shared" si="25"/>
        <v>0.0</v>
      </c>
      <c r="G154" s="428">
        <f t="shared" si="25"/>
        <v>0.0</v>
      </c>
      <c r="H154" s="428">
        <f t="shared" si="25"/>
        <v>0.0</v>
      </c>
    </row>
    <row r="155" spans="8:8">
      <c r="A155" s="136" t="str">
        <f t="shared" si="23"/>
        <v>Okra</v>
      </c>
      <c r="B155" s="428">
        <f t="shared" si="25"/>
        <v>0.0</v>
      </c>
      <c r="C155" s="428">
        <f t="shared" si="25"/>
        <v>0.0</v>
      </c>
      <c r="D155" s="428">
        <f t="shared" si="25"/>
        <v>0.0</v>
      </c>
      <c r="E155" s="428">
        <f t="shared" si="25"/>
        <v>0.0</v>
      </c>
      <c r="F155" s="428">
        <f t="shared" si="25"/>
        <v>0.0</v>
      </c>
      <c r="G155" s="428">
        <f t="shared" si="25"/>
        <v>0.0</v>
      </c>
      <c r="H155" s="428">
        <f t="shared" si="25"/>
        <v>0.0</v>
      </c>
    </row>
    <row r="156" spans="8:8">
      <c r="A156" s="136" t="str">
        <f t="shared" si="23"/>
        <v>Chilli</v>
      </c>
      <c r="B156" s="428">
        <f t="shared" si="25"/>
        <v>0.0</v>
      </c>
      <c r="C156" s="428">
        <f t="shared" si="25"/>
        <v>0.0</v>
      </c>
      <c r="D156" s="428">
        <f t="shared" si="25"/>
        <v>0.0</v>
      </c>
      <c r="E156" s="428">
        <f t="shared" si="25"/>
        <v>0.0</v>
      </c>
      <c r="F156" s="428">
        <f t="shared" si="25"/>
        <v>0.0</v>
      </c>
      <c r="G156" s="428">
        <f t="shared" si="25"/>
        <v>0.0</v>
      </c>
      <c r="H156" s="428">
        <f t="shared" si="25"/>
        <v>0.0</v>
      </c>
    </row>
    <row r="157" spans="8:8">
      <c r="A157" s="136" t="str">
        <f t="shared" si="23"/>
        <v>Brinjal</v>
      </c>
      <c r="B157" s="428">
        <f t="shared" si="25"/>
        <v>0.0</v>
      </c>
      <c r="C157" s="428">
        <f t="shared" si="25"/>
        <v>0.0</v>
      </c>
      <c r="D157" s="428">
        <f t="shared" si="25"/>
        <v>0.0</v>
      </c>
      <c r="E157" s="428">
        <f t="shared" si="25"/>
        <v>0.0</v>
      </c>
      <c r="F157" s="428">
        <f t="shared" si="25"/>
        <v>0.0</v>
      </c>
      <c r="G157" s="428">
        <f t="shared" si="25"/>
        <v>0.0</v>
      </c>
      <c r="H157" s="428">
        <f t="shared" si="25"/>
        <v>0.0</v>
      </c>
    </row>
    <row r="158" spans="8:8">
      <c r="A158" s="136">
        <f t="shared" si="23"/>
        <v>0.0</v>
      </c>
      <c r="B158" s="428">
        <f t="shared" si="25"/>
        <v>0.0</v>
      </c>
      <c r="C158" s="428">
        <f t="shared" si="25"/>
        <v>0.0</v>
      </c>
      <c r="D158" s="428">
        <f t="shared" si="25"/>
        <v>0.0</v>
      </c>
      <c r="E158" s="428">
        <f t="shared" si="25"/>
        <v>0.0</v>
      </c>
      <c r="F158" s="428">
        <f t="shared" si="25"/>
        <v>0.0</v>
      </c>
      <c r="G158" s="428">
        <f t="shared" si="25"/>
        <v>0.0</v>
      </c>
      <c r="H158" s="428">
        <f t="shared" si="25"/>
        <v>0.0</v>
      </c>
    </row>
    <row r="159" spans="8:8">
      <c r="A159" s="136">
        <f t="shared" si="23"/>
        <v>0.0</v>
      </c>
      <c r="B159" s="428">
        <f t="shared" si="25"/>
        <v>0.0</v>
      </c>
      <c r="C159" s="428">
        <f t="shared" si="25"/>
        <v>0.0</v>
      </c>
      <c r="D159" s="428">
        <f t="shared" si="25"/>
        <v>0.0</v>
      </c>
      <c r="E159" s="428">
        <f t="shared" si="25"/>
        <v>0.0</v>
      </c>
      <c r="F159" s="428">
        <f t="shared" si="25"/>
        <v>0.0</v>
      </c>
      <c r="G159" s="428">
        <f t="shared" si="25"/>
        <v>0.0</v>
      </c>
      <c r="H159" s="428">
        <f t="shared" si="25"/>
        <v>0.0</v>
      </c>
    </row>
    <row r="160" spans="8:8">
      <c r="A160" s="136">
        <f t="shared" si="23"/>
        <v>0.0</v>
      </c>
      <c r="B160" s="428">
        <f t="shared" si="25"/>
        <v>0.0</v>
      </c>
      <c r="C160" s="428">
        <f t="shared" si="25"/>
        <v>0.0</v>
      </c>
      <c r="D160" s="428">
        <f t="shared" si="25"/>
        <v>0.0</v>
      </c>
      <c r="E160" s="428">
        <f t="shared" si="25"/>
        <v>0.0</v>
      </c>
      <c r="F160" s="428">
        <f t="shared" si="25"/>
        <v>0.0</v>
      </c>
      <c r="G160" s="428">
        <f t="shared" si="25"/>
        <v>0.0</v>
      </c>
      <c r="H160" s="428">
        <f t="shared" si="25"/>
        <v>0.0</v>
      </c>
    </row>
    <row r="161" spans="8:8">
      <c r="A161" s="136">
        <f t="shared" si="23"/>
        <v>0.0</v>
      </c>
      <c r="B161" s="428">
        <f t="shared" si="25"/>
        <v>0.0</v>
      </c>
      <c r="C161" s="428">
        <f t="shared" si="25"/>
        <v>0.0</v>
      </c>
      <c r="D161" s="428">
        <f t="shared" si="25"/>
        <v>0.0</v>
      </c>
      <c r="E161" s="428">
        <f t="shared" si="25"/>
        <v>0.0</v>
      </c>
      <c r="F161" s="428">
        <f t="shared" si="25"/>
        <v>0.0</v>
      </c>
      <c r="G161" s="428">
        <f t="shared" si="25"/>
        <v>0.0</v>
      </c>
      <c r="H161" s="428">
        <f t="shared" si="25"/>
        <v>0.0</v>
      </c>
    </row>
    <row r="162" spans="8:8">
      <c r="A162" s="136">
        <f t="shared" si="26" ref="A162:A165">A110</f>
        <v>0.0</v>
      </c>
      <c r="B162" s="428">
        <f t="shared" si="27" ref="B162:H162">B110-(B110*$G$7)</f>
        <v>0.0</v>
      </c>
      <c r="C162" s="428">
        <f t="shared" si="27"/>
        <v>0.0</v>
      </c>
      <c r="D162" s="428">
        <f t="shared" si="27"/>
        <v>0.0</v>
      </c>
      <c r="E162" s="428">
        <f t="shared" si="27"/>
        <v>0.0</v>
      </c>
      <c r="F162" s="428">
        <f t="shared" si="27"/>
        <v>0.0</v>
      </c>
      <c r="G162" s="428">
        <f t="shared" si="27"/>
        <v>0.0</v>
      </c>
      <c r="H162" s="428">
        <f t="shared" si="27"/>
        <v>0.0</v>
      </c>
    </row>
    <row r="163" spans="8:8">
      <c r="A163" s="136">
        <f t="shared" si="26"/>
        <v>0.0</v>
      </c>
      <c r="B163" s="428">
        <f t="shared" si="28" ref="B163:H163">B111-(B111*$G$7)</f>
        <v>0.0</v>
      </c>
      <c r="C163" s="428">
        <f t="shared" si="28"/>
        <v>0.0</v>
      </c>
      <c r="D163" s="428">
        <f t="shared" si="28"/>
        <v>0.0</v>
      </c>
      <c r="E163" s="428">
        <f t="shared" si="28"/>
        <v>0.0</v>
      </c>
      <c r="F163" s="428">
        <f t="shared" si="28"/>
        <v>0.0</v>
      </c>
      <c r="G163" s="428">
        <f t="shared" si="28"/>
        <v>0.0</v>
      </c>
      <c r="H163" s="428">
        <f t="shared" si="28"/>
        <v>0.0</v>
      </c>
    </row>
    <row r="164" spans="8:8">
      <c r="A164" s="136">
        <f t="shared" si="26"/>
        <v>0.0</v>
      </c>
      <c r="B164" s="428">
        <f t="shared" si="29" ref="B164:H165">B112-(B112*$G$7)</f>
        <v>0.0</v>
      </c>
      <c r="C164" s="428">
        <f t="shared" si="29"/>
        <v>0.0</v>
      </c>
      <c r="D164" s="428">
        <f t="shared" si="29"/>
        <v>0.0</v>
      </c>
      <c r="E164" s="428">
        <f t="shared" si="29"/>
        <v>0.0</v>
      </c>
      <c r="F164" s="428">
        <f t="shared" si="29"/>
        <v>0.0</v>
      </c>
      <c r="G164" s="428">
        <f t="shared" si="29"/>
        <v>0.0</v>
      </c>
      <c r="H164" s="428">
        <f t="shared" si="29"/>
        <v>0.0</v>
      </c>
    </row>
    <row r="165" spans="8:8">
      <c r="A165" s="136" t="str">
        <f t="shared" si="26"/>
        <v>Pomegranate</v>
      </c>
      <c r="B165" s="428">
        <f t="shared" si="29"/>
        <v>0.0</v>
      </c>
      <c r="C165" s="428">
        <f t="shared" si="30" ref="C165:H168">C113-(C113*$G$7)</f>
        <v>0.0</v>
      </c>
      <c r="D165" s="428">
        <f t="shared" si="30"/>
        <v>0.0</v>
      </c>
      <c r="E165" s="428">
        <f t="shared" si="30"/>
        <v>0.0</v>
      </c>
      <c r="F165" s="428">
        <f t="shared" si="30"/>
        <v>0.0</v>
      </c>
      <c r="G165" s="428">
        <f t="shared" si="30"/>
        <v>0.0</v>
      </c>
      <c r="H165" s="428">
        <f t="shared" si="30"/>
        <v>0.0</v>
      </c>
    </row>
    <row r="166" spans="8:8">
      <c r="A166" s="136" t="str">
        <f>A114</f>
        <v>Custard Apple</v>
      </c>
      <c r="B166" s="428">
        <f>B114-(B114*$G$7)</f>
        <v>0.0</v>
      </c>
      <c r="C166" s="428">
        <f t="shared" si="30"/>
        <v>0.0</v>
      </c>
      <c r="D166" s="428">
        <f t="shared" si="30"/>
        <v>0.0</v>
      </c>
      <c r="E166" s="428">
        <f t="shared" si="30"/>
        <v>0.0</v>
      </c>
      <c r="F166" s="428">
        <f t="shared" si="30"/>
        <v>0.0</v>
      </c>
      <c r="G166" s="428">
        <f t="shared" si="30"/>
        <v>0.0</v>
      </c>
      <c r="H166" s="428">
        <f t="shared" si="30"/>
        <v>0.0</v>
      </c>
    </row>
    <row r="167" spans="8:8">
      <c r="A167" s="136" t="str">
        <f>A115</f>
        <v>Guava</v>
      </c>
      <c r="B167" s="428">
        <f>B115-(B115*$G$7)</f>
        <v>0.0</v>
      </c>
      <c r="C167" s="428">
        <f t="shared" si="30"/>
        <v>0.0</v>
      </c>
      <c r="D167" s="428">
        <f t="shared" si="30"/>
        <v>0.0</v>
      </c>
      <c r="E167" s="428">
        <f t="shared" si="30"/>
        <v>0.0</v>
      </c>
      <c r="F167" s="428">
        <f t="shared" si="30"/>
        <v>0.0</v>
      </c>
      <c r="G167" s="428">
        <f t="shared" si="30"/>
        <v>0.0</v>
      </c>
      <c r="H167" s="428">
        <f t="shared" si="30"/>
        <v>0.0</v>
      </c>
    </row>
    <row r="168" spans="8:8">
      <c r="A168" s="136" t="str">
        <f>A116</f>
        <v>Citrus</v>
      </c>
      <c r="B168" s="428">
        <f>B116-(B116*$G$7)</f>
        <v>0.0</v>
      </c>
      <c r="C168" s="428">
        <f t="shared" si="30"/>
        <v>0.0</v>
      </c>
      <c r="D168" s="428">
        <f t="shared" si="30"/>
        <v>0.0</v>
      </c>
      <c r="E168" s="428">
        <f t="shared" si="30"/>
        <v>0.0</v>
      </c>
      <c r="F168" s="428">
        <f t="shared" si="30"/>
        <v>0.0</v>
      </c>
      <c r="G168" s="428">
        <f t="shared" si="30"/>
        <v>0.0</v>
      </c>
      <c r="H168" s="428">
        <f t="shared" si="30"/>
        <v>0.0</v>
      </c>
    </row>
    <row r="169" spans="8:8">
      <c r="A169" s="435"/>
    </row>
    <row r="170" spans="8:8" ht="18.75">
      <c r="A170" s="30" t="s">
        <v>602</v>
      </c>
      <c r="B170" s="30"/>
      <c r="C170" s="30"/>
      <c r="D170" s="30"/>
      <c r="E170" s="30"/>
      <c r="F170" s="30"/>
      <c r="G170" s="30"/>
      <c r="H170" s="30"/>
      <c r="I170" s="30"/>
      <c r="J170" s="30"/>
    </row>
    <row r="171" spans="8:8">
      <c r="A171" s="436"/>
      <c r="B171" s="436"/>
      <c r="C171" s="436"/>
      <c r="D171" s="436"/>
      <c r="E171" s="436"/>
      <c r="F171" s="436"/>
      <c r="G171" s="436"/>
      <c r="H171" s="436"/>
    </row>
    <row r="172" spans="8:8">
      <c r="A172" s="437"/>
      <c r="B172" s="437"/>
      <c r="C172" s="437"/>
      <c r="D172" s="438">
        <v>1.0</v>
      </c>
      <c r="E172" s="439">
        <f>(D172*5%)+D172</f>
        <v>1.05</v>
      </c>
      <c r="F172" s="439">
        <f t="shared" si="31" ref="F172:J172">(E172*5%)+E172</f>
        <v>1.1025</v>
      </c>
      <c r="G172" s="439">
        <f t="shared" si="31"/>
        <v>1.1576250000000001</v>
      </c>
      <c r="H172" s="439">
        <f t="shared" si="31"/>
        <v>1.21550625</v>
      </c>
      <c r="I172" s="439">
        <f t="shared" si="31"/>
        <v>1.2762815625</v>
      </c>
      <c r="J172" s="439">
        <f t="shared" si="31"/>
        <v>1.340095640625</v>
      </c>
      <c r="K172" s="115"/>
      <c r="L172" s="115"/>
      <c r="M172" s="115"/>
      <c r="N172" s="115"/>
      <c r="O172" s="115"/>
      <c r="P172" s="115"/>
      <c r="Q172" s="115"/>
      <c r="R172" s="115"/>
      <c r="S172" s="115"/>
      <c r="T172" s="115"/>
    </row>
    <row r="173" spans="8:8">
      <c r="A173" s="115"/>
      <c r="B173" s="115"/>
      <c r="C173" s="115"/>
      <c r="D173" s="115"/>
      <c r="E173" s="115"/>
      <c r="F173" s="115"/>
      <c r="G173" s="115"/>
      <c r="H173" s="115"/>
      <c r="I173" s="115"/>
      <c r="J173" s="115"/>
      <c r="K173" s="115"/>
      <c r="L173" s="115"/>
      <c r="M173" s="115"/>
      <c r="N173" s="115"/>
      <c r="O173" s="115"/>
      <c r="P173" s="115"/>
      <c r="Q173" s="115"/>
      <c r="R173" s="115"/>
      <c r="S173" s="115"/>
      <c r="T173" s="115"/>
    </row>
    <row r="174" spans="8:8">
      <c r="A174" s="115"/>
      <c r="B174" s="115"/>
      <c r="C174" s="115"/>
      <c r="D174" s="116"/>
      <c r="E174" s="116"/>
      <c r="F174" s="116"/>
      <c r="G174" s="116"/>
      <c r="H174" s="116"/>
      <c r="I174" s="116"/>
      <c r="J174" s="116"/>
      <c r="K174" s="115"/>
      <c r="L174" s="115"/>
    </row>
    <row r="175" spans="8:8">
      <c r="A175" s="195" t="s">
        <v>0</v>
      </c>
      <c r="B175" s="195"/>
      <c r="C175" s="195" t="s">
        <v>152</v>
      </c>
      <c r="D175" s="196" t="s">
        <v>2</v>
      </c>
      <c r="E175" s="196" t="s">
        <v>3</v>
      </c>
      <c r="F175" s="196" t="s">
        <v>4</v>
      </c>
      <c r="G175" s="196" t="s">
        <v>5</v>
      </c>
      <c r="H175" s="196" t="s">
        <v>6</v>
      </c>
      <c r="I175" s="196" t="s">
        <v>169</v>
      </c>
      <c r="J175" s="196" t="s">
        <v>168</v>
      </c>
      <c r="K175" s="115"/>
      <c r="L175" s="115"/>
    </row>
    <row r="176" spans="8:8">
      <c r="A176" s="123"/>
      <c r="B176" s="123"/>
      <c r="C176" s="123"/>
      <c r="D176" s="120"/>
      <c r="E176" s="120"/>
      <c r="F176" s="120"/>
      <c r="G176" s="120"/>
      <c r="H176" s="120"/>
      <c r="I176" s="120"/>
      <c r="J176" s="120"/>
      <c r="K176" s="115"/>
      <c r="L176" s="115"/>
    </row>
    <row r="177" spans="8:8">
      <c r="A177" s="123" t="s">
        <v>127</v>
      </c>
      <c r="B177" s="123"/>
      <c r="C177" s="123"/>
      <c r="D177" s="120"/>
      <c r="E177" s="120"/>
      <c r="F177" s="120"/>
      <c r="G177" s="120"/>
      <c r="H177" s="120"/>
      <c r="I177" s="120"/>
      <c r="J177" s="120"/>
      <c r="K177" s="115"/>
      <c r="L177" s="115"/>
    </row>
    <row r="178" spans="8:8">
      <c r="A178" s="120" t="str">
        <f t="shared" si="32" ref="A178:A198">A120</f>
        <v>Soybean</v>
      </c>
      <c r="B178" s="120" t="s">
        <v>367</v>
      </c>
      <c r="C178" s="440">
        <v>8100.0</v>
      </c>
      <c r="D178" s="441">
        <f>(B120*(1-'5.Closing Stock &amp; W Capital'!$D$16))*C$178*D172</f>
        <v>5.5719456525000006E7</v>
      </c>
      <c r="E178" s="441">
        <f>((C120*(1-'5.Closing Stock &amp; W Capital'!$D$16))+(B120*'5.Closing Stock &amp; W Capital'!$D$16))*$C178*E$172</f>
        <v>6.808526573625E7</v>
      </c>
      <c r="F178" s="441">
        <f>((D120*(1-'5.Closing Stock &amp; W Capital'!$D$16))+(C120*'5.Closing Stock &amp; W Capital'!$D$16))*$C178*F$172</f>
        <v>7.867440631181249E7</v>
      </c>
      <c r="G178" s="441">
        <f>((E120*(1-'5.Closing Stock &amp; W Capital'!$D$16))+(D120*'5.Closing Stock &amp; W Capital'!$D$16))*$C178*G$172</f>
        <v>9.015224778059062E7</v>
      </c>
      <c r="H178" s="441">
        <f>((F120*(1-'5.Closing Stock &amp; W Capital'!$D$16))+(E120*'5.Closing Stock &amp; W Capital'!$D$16))*$C178*H$172</f>
        <v>1.0258118738046703E8</v>
      </c>
      <c r="I178" s="441">
        <f>((G120*(1-'5.Closing Stock &amp; W Capital'!$D$16))+(F120*'5.Closing Stock &amp; W Capital'!$D$16))*$C178*I$172</f>
        <v>1.1602764032087961E8</v>
      </c>
      <c r="J178" s="441">
        <f>((H120*(1-'5.Closing Stock &amp; W Capital'!$D$16))+(G120*'5.Closing Stock &amp; W Capital'!$D$16))*$C178*J$172</f>
        <v>1.3056228558688226E8</v>
      </c>
      <c r="K178" s="115"/>
      <c r="L178" s="115"/>
    </row>
    <row r="179" spans="8:8">
      <c r="A179" s="120" t="str">
        <f t="shared" si="32"/>
        <v>Red Gram/Tur</v>
      </c>
      <c r="B179" s="120" t="s">
        <v>367</v>
      </c>
      <c r="C179" s="440">
        <v>6000.0</v>
      </c>
      <c r="D179" s="441">
        <f>(B121*(1-'5.Closing Stock &amp; W Capital'!$D$16))*$C179*D$172</f>
        <v>0.0</v>
      </c>
      <c r="E179" s="441">
        <f>((C121*(1-'5.Closing Stock &amp; W Capital'!$D$16))+(B121*'5.Closing Stock &amp; W Capital'!$D$16))*$C179*E$172</f>
        <v>0.0</v>
      </c>
      <c r="F179" s="441">
        <f>((D121*(1-'5.Closing Stock &amp; W Capital'!$D$16))+(C121*'5.Closing Stock &amp; W Capital'!$D$16))*$C179*F$172</f>
        <v>0.0</v>
      </c>
      <c r="G179" s="441">
        <f>((E121*(1-'5.Closing Stock &amp; W Capital'!$D$16))+(D121*'5.Closing Stock &amp; W Capital'!$D$16))*$C179*G$172</f>
        <v>0.0</v>
      </c>
      <c r="H179" s="441">
        <f>((F121*(1-'5.Closing Stock &amp; W Capital'!$D$16))+(E121*'5.Closing Stock &amp; W Capital'!$D$16))*$C179*H$172</f>
        <v>0.0</v>
      </c>
      <c r="I179" s="441">
        <f>((G121*(1-'5.Closing Stock &amp; W Capital'!$D$16))+(F121*'5.Closing Stock &amp; W Capital'!$D$16))*$C179*I$172</f>
        <v>0.0</v>
      </c>
      <c r="J179" s="441">
        <f>((H121*(1-'5.Closing Stock &amp; W Capital'!$D$16))+(G121*'5.Closing Stock &amp; W Capital'!$D$16))*$C179*J$172</f>
        <v>0.0</v>
      </c>
      <c r="K179" s="115"/>
      <c r="L179" s="115"/>
    </row>
    <row r="180" spans="8:8">
      <c r="A180" s="120" t="str">
        <f t="shared" si="32"/>
        <v>Paddy/Rice</v>
      </c>
      <c r="B180" s="120" t="s">
        <v>367</v>
      </c>
      <c r="C180" s="440"/>
      <c r="D180" s="441">
        <f>(B122*(1-'5.Closing Stock &amp; W Capital'!$D$16))*$C180*D$172</f>
        <v>0.0</v>
      </c>
      <c r="E180" s="441">
        <f>((C122*(1-'5.Closing Stock &amp; W Capital'!$D$16))+(B122*'5.Closing Stock &amp; W Capital'!$D$16))*$C180*E$172</f>
        <v>0.0</v>
      </c>
      <c r="F180" s="441">
        <f>((D122*(1-'5.Closing Stock &amp; W Capital'!$D$16))+(C122*'5.Closing Stock &amp; W Capital'!$D$16))*$C180*F$172</f>
        <v>0.0</v>
      </c>
      <c r="G180" s="441">
        <f>((E122*(1-'5.Closing Stock &amp; W Capital'!$D$16))+(D122*'5.Closing Stock &amp; W Capital'!$D$16))*$C180*G$172</f>
        <v>0.0</v>
      </c>
      <c r="H180" s="441">
        <f>((F122*(1-'5.Closing Stock &amp; W Capital'!$D$16))+(E122*'5.Closing Stock &amp; W Capital'!$D$16))*$C180*H$172</f>
        <v>0.0</v>
      </c>
      <c r="I180" s="441">
        <f>((G122*(1-'5.Closing Stock &amp; W Capital'!$D$16))+(F122*'5.Closing Stock &amp; W Capital'!$D$16))*$C180*I$172</f>
        <v>0.0</v>
      </c>
      <c r="J180" s="441">
        <f>((H122*(1-'5.Closing Stock &amp; W Capital'!$D$16))+(G122*'5.Closing Stock &amp; W Capital'!$D$16))*$C180*J$172</f>
        <v>0.0</v>
      </c>
      <c r="K180" s="115"/>
      <c r="L180" s="115"/>
    </row>
    <row r="181" spans="8:8">
      <c r="A181" s="120" t="str">
        <f t="shared" si="32"/>
        <v>Green Gram/ Moong</v>
      </c>
      <c r="B181" s="120" t="s">
        <v>367</v>
      </c>
      <c r="C181" s="440">
        <v>6000.0</v>
      </c>
      <c r="D181" s="441">
        <f>(B123*(1-'5.Closing Stock &amp; W Capital'!$D$16))*$C181*D$172</f>
        <v>0.0</v>
      </c>
      <c r="E181" s="441">
        <f>((C123*(1-'5.Closing Stock &amp; W Capital'!$D$16))+(B123*'5.Closing Stock &amp; W Capital'!$D$16))*$C181*E$172</f>
        <v>0.0</v>
      </c>
      <c r="F181" s="441">
        <f>((D123*(1-'5.Closing Stock &amp; W Capital'!$D$16))+(C123*'5.Closing Stock &amp; W Capital'!$D$16))*$C181*F$172</f>
        <v>0.0</v>
      </c>
      <c r="G181" s="441">
        <f>((E123*(1-'5.Closing Stock &amp; W Capital'!$D$16))+(D123*'5.Closing Stock &amp; W Capital'!$D$16))*$C181*G$172</f>
        <v>0.0</v>
      </c>
      <c r="H181" s="441">
        <f>((F123*(1-'5.Closing Stock &amp; W Capital'!$D$16))+(E123*'5.Closing Stock &amp; W Capital'!$D$16))*$C181*H$172</f>
        <v>0.0</v>
      </c>
      <c r="I181" s="441">
        <f>((G123*(1-'5.Closing Stock &amp; W Capital'!$D$16))+(F123*'5.Closing Stock &amp; W Capital'!$D$16))*$C181*I$172</f>
        <v>0.0</v>
      </c>
      <c r="J181" s="441">
        <f>((H123*(1-'5.Closing Stock &amp; W Capital'!$D$16))+(G123*'5.Closing Stock &amp; W Capital'!$D$16))*$C181*J$172</f>
        <v>0.0</v>
      </c>
      <c r="K181" s="115"/>
      <c r="L181" s="115"/>
    </row>
    <row r="182" spans="8:8">
      <c r="A182" s="120" t="str">
        <f t="shared" si="32"/>
        <v>Maize</v>
      </c>
      <c r="B182" s="120" t="s">
        <v>367</v>
      </c>
      <c r="C182" s="440"/>
      <c r="D182" s="441">
        <f>(B124*(1-'5.Closing Stock &amp; W Capital'!$D$16))*$C182*D$172</f>
        <v>0.0</v>
      </c>
      <c r="E182" s="441">
        <f>((C124*(1-'5.Closing Stock &amp; W Capital'!$D$16))+(B124*'5.Closing Stock &amp; W Capital'!$D$16))*$C182*E$172</f>
        <v>0.0</v>
      </c>
      <c r="F182" s="441">
        <f>((D124*(1-'5.Closing Stock &amp; W Capital'!$D$16))+(C124*'5.Closing Stock &amp; W Capital'!$D$16))*$C182*F$172</f>
        <v>0.0</v>
      </c>
      <c r="G182" s="441">
        <f>((E124*(1-'5.Closing Stock &amp; W Capital'!$D$16))+(D124*'5.Closing Stock &amp; W Capital'!$D$16))*$C182*G$172</f>
        <v>0.0</v>
      </c>
      <c r="H182" s="441">
        <f>((F124*(1-'5.Closing Stock &amp; W Capital'!$D$16))+(E124*'5.Closing Stock &amp; W Capital'!$D$16))*$C182*H$172</f>
        <v>0.0</v>
      </c>
      <c r="I182" s="441">
        <f>((G124*(1-'5.Closing Stock &amp; W Capital'!$D$16))+(F124*'5.Closing Stock &amp; W Capital'!$D$16))*$C182*I$172</f>
        <v>0.0</v>
      </c>
      <c r="J182" s="441">
        <f>((H124*(1-'5.Closing Stock &amp; W Capital'!$D$16))+(G124*'5.Closing Stock &amp; W Capital'!$D$16))*$C182*J$172</f>
        <v>0.0</v>
      </c>
      <c r="K182" s="115"/>
      <c r="L182" s="115"/>
    </row>
    <row r="183" spans="8:8">
      <c r="A183" s="120" t="str">
        <f t="shared" si="32"/>
        <v>Black Gram/Udid</v>
      </c>
      <c r="B183" s="120" t="s">
        <v>367</v>
      </c>
      <c r="C183" s="440">
        <v>6500.0</v>
      </c>
      <c r="D183" s="441">
        <f>(B125*(1-'5.Closing Stock &amp; W Capital'!$D$16))*$C183*D$172</f>
        <v>0.0</v>
      </c>
      <c r="E183" s="441">
        <f>((C125*(1-'5.Closing Stock &amp; W Capital'!$D$16))+(B125*'5.Closing Stock &amp; W Capital'!$D$16))*$C183*E$172</f>
        <v>0.0</v>
      </c>
      <c r="F183" s="441">
        <f>((D125*(1-'5.Closing Stock &amp; W Capital'!$D$16))+(C125*'5.Closing Stock &amp; W Capital'!$D$16))*$C183*F$172</f>
        <v>0.0</v>
      </c>
      <c r="G183" s="441">
        <f>((E125*(1-'5.Closing Stock &amp; W Capital'!$D$16))+(D125*'5.Closing Stock &amp; W Capital'!$D$16))*$C183*G$172</f>
        <v>0.0</v>
      </c>
      <c r="H183" s="441">
        <f>((F125*(1-'5.Closing Stock &amp; W Capital'!$D$16))+(E125*'5.Closing Stock &amp; W Capital'!$D$16))*$C183*H$172</f>
        <v>0.0</v>
      </c>
      <c r="I183" s="441">
        <f>((G125*(1-'5.Closing Stock &amp; W Capital'!$D$16))+(F125*'5.Closing Stock &amp; W Capital'!$D$16))*$C183*I$172</f>
        <v>0.0</v>
      </c>
      <c r="J183" s="441">
        <f>((H125*(1-'5.Closing Stock &amp; W Capital'!$D$16))+(G125*'5.Closing Stock &amp; W Capital'!$D$16))*$C183*J$172</f>
        <v>0.0</v>
      </c>
      <c r="K183" s="115"/>
      <c r="L183" s="115"/>
    </row>
    <row r="184" spans="8:8">
      <c r="A184" s="120" t="str">
        <f t="shared" si="32"/>
        <v>Bajra</v>
      </c>
      <c r="B184" s="120" t="s">
        <v>367</v>
      </c>
      <c r="C184" s="440">
        <v>2000.0</v>
      </c>
      <c r="D184" s="441">
        <f>(B126*(1-'5.Closing Stock &amp; W Capital'!$D$16))*$C184*D$172</f>
        <v>0.0</v>
      </c>
      <c r="E184" s="441">
        <f>((C126*(1-'5.Closing Stock &amp; W Capital'!$D$16))+(B126*'5.Closing Stock &amp; W Capital'!$D$16))*$C184*E$172</f>
        <v>0.0</v>
      </c>
      <c r="F184" s="441">
        <f>((D126*(1-'5.Closing Stock &amp; W Capital'!$D$16))+(C126*'5.Closing Stock &amp; W Capital'!$D$16))*$C184*F$172</f>
        <v>0.0</v>
      </c>
      <c r="G184" s="441">
        <f>((E126*(1-'5.Closing Stock &amp; W Capital'!$D$16))+(D126*'5.Closing Stock &amp; W Capital'!$D$16))*$C184*G$172</f>
        <v>0.0</v>
      </c>
      <c r="H184" s="441">
        <f>((F126*(1-'5.Closing Stock &amp; W Capital'!$D$16))+(E126*'5.Closing Stock &amp; W Capital'!$D$16))*$C184*H$172</f>
        <v>0.0</v>
      </c>
      <c r="I184" s="441">
        <f>((G126*(1-'5.Closing Stock &amp; W Capital'!$D$16))+(F126*'5.Closing Stock &amp; W Capital'!$D$16))*$C184*I$172</f>
        <v>0.0</v>
      </c>
      <c r="J184" s="441">
        <f>((H126*(1-'5.Closing Stock &amp; W Capital'!$D$16))+(G126*'5.Closing Stock &amp; W Capital'!$D$16))*$C184*J$172</f>
        <v>0.0</v>
      </c>
      <c r="K184" s="115"/>
      <c r="L184" s="115"/>
    </row>
    <row r="185" spans="8:8">
      <c r="A185" s="120" t="str">
        <f t="shared" si="32"/>
        <v>Jawar</v>
      </c>
      <c r="B185" s="120" t="s">
        <v>367</v>
      </c>
      <c r="C185" s="440">
        <v>0.0</v>
      </c>
      <c r="D185" s="441">
        <f>((B127++B131)*(1-'5.Closing Stock &amp; W Capital'!$D$16))*$C185*D$172</f>
        <v>0.0</v>
      </c>
      <c r="E185" s="441">
        <f>((C127++C131)*(1-'5.Closing Stock &amp; W Capital'!$D$16))*$C185*E$172</f>
        <v>0.0</v>
      </c>
      <c r="F185" s="441">
        <f>((D127++D131)*(1-'5.Closing Stock &amp; W Capital'!$D$16))*$C185*F$172</f>
        <v>0.0</v>
      </c>
      <c r="G185" s="441">
        <f>((E127++E131)*(1-'5.Closing Stock &amp; W Capital'!$D$16))*$C185*G$172</f>
        <v>0.0</v>
      </c>
      <c r="H185" s="441">
        <f>((F127++F131)*(1-'5.Closing Stock &amp; W Capital'!$D$16))*$C185*H$172</f>
        <v>0.0</v>
      </c>
      <c r="I185" s="441">
        <f>((G127++G131)*(1-'5.Closing Stock &amp; W Capital'!$D$16))*$C185*I$172</f>
        <v>0.0</v>
      </c>
      <c r="J185" s="441">
        <f>((H127++H131)*(1-'5.Closing Stock &amp; W Capital'!$D$16))*$C185*J$172</f>
        <v>0.0</v>
      </c>
      <c r="K185" s="115"/>
      <c r="L185" s="115"/>
    </row>
    <row r="186" spans="8:8">
      <c r="A186" s="120" t="str">
        <f t="shared" si="32"/>
        <v>Sunflower</v>
      </c>
      <c r="B186" s="120" t="s">
        <v>367</v>
      </c>
      <c r="C186" s="440"/>
      <c r="D186" s="441">
        <f>(B128*(1-'5.Closing Stock &amp; W Capital'!$D$16))*$C186*D$172</f>
        <v>0.0</v>
      </c>
      <c r="E186" s="441">
        <f>((C128*(1-'5.Closing Stock &amp; W Capital'!$D$16))+(B128*'5.Closing Stock &amp; W Capital'!$D$16))*$C186*E$172</f>
        <v>0.0</v>
      </c>
      <c r="F186" s="441">
        <f>((D128*(1-'5.Closing Stock &amp; W Capital'!$D$16))+(C128*'5.Closing Stock &amp; W Capital'!$D$16))*$C186*F$172</f>
        <v>0.0</v>
      </c>
      <c r="G186" s="441">
        <f>((E128*(1-'5.Closing Stock &amp; W Capital'!$D$16))+(D128*'5.Closing Stock &amp; W Capital'!$D$16))*$C186*G$172</f>
        <v>0.0</v>
      </c>
      <c r="H186" s="441">
        <f>((F128*(1-'5.Closing Stock &amp; W Capital'!$D$16))+(E128*'5.Closing Stock &amp; W Capital'!$D$16))*$C186*H$172</f>
        <v>0.0</v>
      </c>
      <c r="I186" s="441">
        <f>((G128*(1-'5.Closing Stock &amp; W Capital'!$D$16))+(F128*'5.Closing Stock &amp; W Capital'!$D$16))*$C186*I$172</f>
        <v>0.0</v>
      </c>
      <c r="J186" s="441">
        <f>((H128*(1-'5.Closing Stock &amp; W Capital'!$D$16))+(G128*'5.Closing Stock &amp; W Capital'!$D$16))*$C186*J$172</f>
        <v>0.0</v>
      </c>
      <c r="K186" s="115"/>
      <c r="L186" s="115"/>
    </row>
    <row r="187" spans="8:8">
      <c r="A187" s="120" t="str">
        <f t="shared" si="32"/>
        <v>Wheat</v>
      </c>
      <c r="B187" s="120" t="s">
        <v>367</v>
      </c>
      <c r="C187" s="440"/>
      <c r="D187" s="441">
        <f>(B129*(1-'5.Closing Stock &amp; W Capital'!$D$16))*$C187*D$172</f>
        <v>0.0</v>
      </c>
      <c r="E187" s="441">
        <f>((C129*(1-'5.Closing Stock &amp; W Capital'!$D$16))+(B129*'5.Closing Stock &amp; W Capital'!$D$16))*$C187*E$172</f>
        <v>0.0</v>
      </c>
      <c r="F187" s="441">
        <f>((D129*(1-'5.Closing Stock &amp; W Capital'!$D$16))+(C129*'5.Closing Stock &amp; W Capital'!$D$16))*$C187*F$172</f>
        <v>0.0</v>
      </c>
      <c r="G187" s="441">
        <f>((E129*(1-'5.Closing Stock &amp; W Capital'!$D$16))+(D129*'5.Closing Stock &amp; W Capital'!$D$16))*$C187*G$172</f>
        <v>0.0</v>
      </c>
      <c r="H187" s="441">
        <f>((F129*(1-'5.Closing Stock &amp; W Capital'!$D$16))+(E129*'5.Closing Stock &amp; W Capital'!$D$16))*$C187*H$172</f>
        <v>0.0</v>
      </c>
      <c r="I187" s="441">
        <f>((G129*(1-'5.Closing Stock &amp; W Capital'!$D$16))+(F129*'5.Closing Stock &amp; W Capital'!$D$16))*$C187*I$172</f>
        <v>0.0</v>
      </c>
      <c r="J187" s="441">
        <f>((H129*(1-'5.Closing Stock &amp; W Capital'!$D$16))+(G129*'5.Closing Stock &amp; W Capital'!$D$16))*$C187*J$172</f>
        <v>0.0</v>
      </c>
      <c r="K187" s="115"/>
      <c r="L187" s="115"/>
    </row>
    <row r="188" spans="8:8">
      <c r="A188" s="120" t="str">
        <f t="shared" si="32"/>
        <v>Bengal Gram/Channa</v>
      </c>
      <c r="B188" s="120" t="s">
        <v>367</v>
      </c>
      <c r="C188" s="440">
        <v>6150.0</v>
      </c>
      <c r="D188" s="441">
        <f>(B130*(1-'5.Closing Stock &amp; W Capital'!$D$16))*$C188*D$172</f>
        <v>3.1729134965625E7</v>
      </c>
      <c r="E188" s="441">
        <f>((C130*(1-'5.Closing Stock &amp; W Capital'!$D$16))+(B130*'5.Closing Stock &amp; W Capital'!$D$16))*$C188*E$172</f>
        <v>3.877077632203125E7</v>
      </c>
      <c r="F188" s="441">
        <f>((D130*(1-'5.Closing Stock &amp; W Capital'!$D$16))+(C130*'5.Closing Stock &amp; W Capital'!$D$16))*$C188*F$172</f>
        <v>4.480070359422656E7</v>
      </c>
      <c r="G188" s="441">
        <f>((E130*(1-'5.Closing Stock &amp; W Capital'!$D$16))+(D130*'5.Closing Stock &amp; W Capital'!$D$16))*$C188*G$172</f>
        <v>5.133669665283634E7</v>
      </c>
      <c r="H188" s="441">
        <f>((F130*(1-'5.Closing Stock &amp; W Capital'!$D$16))+(E130*'5.Closing Stock &amp; W Capital'!$D$16))*$C188*H$172</f>
        <v>5.8414287258321494E7</v>
      </c>
      <c r="I188" s="441">
        <f>((G130*(1-'5.Closing Stock &amp; W Capital'!$D$16))+(F130*'5.Closing Stock &amp; W Capital'!$D$16))*$C188*I$172</f>
        <v>6.6071295182723105E7</v>
      </c>
      <c r="J188" s="441">
        <f>((H130*(1-'5.Closing Stock &amp; W Capital'!$D$16))+(G130*'5.Closing Stock &amp; W Capital'!$D$16))*$C188*J$172</f>
        <v>7.434796818141906E7</v>
      </c>
      <c r="K188" s="115"/>
      <c r="L188" s="115"/>
    </row>
    <row r="189" spans="8:8">
      <c r="A189" s="120" t="str">
        <f t="shared" si="32"/>
        <v>Jawar</v>
      </c>
      <c r="B189" s="120" t="s">
        <v>367</v>
      </c>
      <c r="C189" s="440">
        <v>4100.0</v>
      </c>
      <c r="D189" s="441">
        <f>(B131*(1-'5.Closing Stock &amp; W Capital'!$D$16))*$C189*D$172</f>
        <v>1.09680960375E7</v>
      </c>
      <c r="E189" s="441">
        <f>((C131*(1-'5.Closing Stock &amp; W Capital'!$D$16))+(B131*'5.Closing Stock &amp; W Capital'!$D$16))*$C189*E$172</f>
        <v>1.3402243666875E7</v>
      </c>
      <c r="F189" s="441">
        <f>((D131*(1-'5.Closing Stock &amp; W Capital'!$D$16))+(C131*'5.Closing Stock &amp; W Capital'!$D$16))*$C189*F$172</f>
        <v>1.548666297084375E7</v>
      </c>
      <c r="G189" s="441">
        <f>((E131*(1-'5.Closing Stock &amp; W Capital'!$D$16))+(D131*'5.Closing Stock &amp; W Capital'!$D$16))*$C189*G$172</f>
        <v>1.7746018596042186E7</v>
      </c>
      <c r="H189" s="441">
        <f>((F131*(1-'5.Closing Stock &amp; W Capital'!$D$16))+(E131*'5.Closing Stock &amp; W Capital'!$D$16))*$C189*H$172</f>
        <v>2.019259312633336E7</v>
      </c>
      <c r="I189" s="441">
        <f>((G131*(1-'5.Closing Stock &amp; W Capital'!$D$16))+(F131*'5.Closing Stock &amp; W Capital'!$D$16))*$C189*I$172</f>
        <v>2.283946006316354E7</v>
      </c>
      <c r="J189" s="441">
        <f>((H131*(1-'5.Closing Stock &amp; W Capital'!$D$16))+(G131*'5.Closing Stock &amp; W Capital'!$D$16))*$C189*J$172</f>
        <v>2.5700532210860915E7</v>
      </c>
      <c r="K189" s="115"/>
      <c r="L189" s="115"/>
    </row>
    <row r="190" spans="8:8">
      <c r="A190" s="120" t="str">
        <f t="shared" si="32"/>
        <v>Maize</v>
      </c>
      <c r="B190" s="120" t="s">
        <v>367</v>
      </c>
      <c r="C190" s="440"/>
      <c r="D190" s="441">
        <f>(B132*(1-'5.Closing Stock &amp; W Capital'!$D$16))*$C190*D$172</f>
        <v>0.0</v>
      </c>
      <c r="E190" s="441">
        <f>((C132*(1-'5.Closing Stock &amp; W Capital'!$D$16))+(B132*'5.Closing Stock &amp; W Capital'!$D$16))*$C190*E$172</f>
        <v>0.0</v>
      </c>
      <c r="F190" s="441">
        <f>((D132*(1-'5.Closing Stock &amp; W Capital'!$D$16))+(C132*'5.Closing Stock &amp; W Capital'!$D$16))*$C190*F$172</f>
        <v>0.0</v>
      </c>
      <c r="G190" s="441">
        <f>((E132*(1-'5.Closing Stock &amp; W Capital'!$D$16))+(D132*'5.Closing Stock &amp; W Capital'!$D$16))*$C190*G$172</f>
        <v>0.0</v>
      </c>
      <c r="H190" s="441">
        <f>((F132*(1-'5.Closing Stock &amp; W Capital'!$D$16))+(E132*'5.Closing Stock &amp; W Capital'!$D$16))*$C190*H$172</f>
        <v>0.0</v>
      </c>
      <c r="I190" s="441">
        <f>((G132*(1-'5.Closing Stock &amp; W Capital'!$D$16))+(F132*'5.Closing Stock &amp; W Capital'!$D$16))*$C190*I$172</f>
        <v>0.0</v>
      </c>
      <c r="J190" s="441">
        <f>((H132*(1-'5.Closing Stock &amp; W Capital'!$D$16))+(G132*'5.Closing Stock &amp; W Capital'!$D$16))*$C190*J$172</f>
        <v>0.0</v>
      </c>
      <c r="K190" s="115"/>
      <c r="L190" s="115"/>
    </row>
    <row r="191" spans="8:8">
      <c r="A191" s="120" t="str">
        <f t="shared" si="32"/>
        <v>Safflower</v>
      </c>
      <c r="B191" s="120" t="s">
        <v>367</v>
      </c>
      <c r="C191" s="440"/>
      <c r="D191" s="441">
        <f>(B133*(1-'5.Closing Stock &amp; W Capital'!$D$16))*$C191*D$172</f>
        <v>0.0</v>
      </c>
      <c r="E191" s="441">
        <f>((C133*(1-'5.Closing Stock &amp; W Capital'!$D$16))+(B133*'5.Closing Stock &amp; W Capital'!$D$16))*$C191*E$172</f>
        <v>0.0</v>
      </c>
      <c r="F191" s="441">
        <f>((D133*(1-'5.Closing Stock &amp; W Capital'!$D$16))+(C133*'5.Closing Stock &amp; W Capital'!$D$16))*$C191*F$172</f>
        <v>0.0</v>
      </c>
      <c r="G191" s="441">
        <f>((E133*(1-'5.Closing Stock &amp; W Capital'!$D$16))+(D133*'5.Closing Stock &amp; W Capital'!$D$16))*$C191*G$172</f>
        <v>0.0</v>
      </c>
      <c r="H191" s="441">
        <f>((F133*(1-'5.Closing Stock &amp; W Capital'!$D$16))+(E133*'5.Closing Stock &amp; W Capital'!$D$16))*$C191*H$172</f>
        <v>0.0</v>
      </c>
      <c r="I191" s="441">
        <f>((G133*(1-'5.Closing Stock &amp; W Capital'!$D$16))+(F133*'5.Closing Stock &amp; W Capital'!$D$16))*$C191*I$172</f>
        <v>0.0</v>
      </c>
      <c r="J191" s="441">
        <f>((H133*(1-'5.Closing Stock &amp; W Capital'!$D$16))+(G133*'5.Closing Stock &amp; W Capital'!$D$16))*$C191*J$172</f>
        <v>0.0</v>
      </c>
      <c r="K191" s="115"/>
      <c r="L191" s="115"/>
    </row>
    <row r="192" spans="8:8">
      <c r="A192" s="120">
        <f t="shared" si="32"/>
        <v>0.0</v>
      </c>
      <c r="B192" s="120" t="s">
        <v>367</v>
      </c>
      <c r="C192" s="440"/>
      <c r="D192" s="441">
        <f>(B134*(1-'5.Closing Stock &amp; W Capital'!$D$16))*$C192*D$172</f>
        <v>0.0</v>
      </c>
      <c r="E192" s="441">
        <f>((C134*(1-'5.Closing Stock &amp; W Capital'!$D$16))+(B134*'5.Closing Stock &amp; W Capital'!$D$16))*$C192*E$172</f>
        <v>0.0</v>
      </c>
      <c r="F192" s="441">
        <f>((D134*(1-'5.Closing Stock &amp; W Capital'!$D$16))+(C134*'5.Closing Stock &amp; W Capital'!$D$16))*$C192*F$172</f>
        <v>0.0</v>
      </c>
      <c r="G192" s="441">
        <f>((E134*(1-'5.Closing Stock &amp; W Capital'!$D$16))+(D134*'5.Closing Stock &amp; W Capital'!$D$16))*$C192*G$172</f>
        <v>0.0</v>
      </c>
      <c r="H192" s="441">
        <f>((F134*(1-'5.Closing Stock &amp; W Capital'!$D$16))+(E134*'5.Closing Stock &amp; W Capital'!$D$16))*$C192*H$172</f>
        <v>0.0</v>
      </c>
      <c r="I192" s="441">
        <f>((G134*(1-'5.Closing Stock &amp; W Capital'!$D$16))+(F134*'5.Closing Stock &amp; W Capital'!$D$16))*$C192*I$172</f>
        <v>0.0</v>
      </c>
      <c r="J192" s="441">
        <f>((H134*(1-'5.Closing Stock &amp; W Capital'!$D$16))+(G134*'5.Closing Stock &amp; W Capital'!$D$16))*$C192*J$172</f>
        <v>0.0</v>
      </c>
      <c r="K192" s="115"/>
      <c r="L192" s="115"/>
    </row>
    <row r="193" spans="8:8">
      <c r="A193" s="120">
        <f t="shared" si="32"/>
        <v>0.0</v>
      </c>
      <c r="B193" s="120" t="s">
        <v>367</v>
      </c>
      <c r="C193" s="440"/>
      <c r="D193" s="441">
        <f>(B135*(1-'5.Closing Stock &amp; W Capital'!$D$16))*$C193*D$172</f>
        <v>0.0</v>
      </c>
      <c r="E193" s="441">
        <f>((C135*(1-'5.Closing Stock &amp; W Capital'!$D$16))+(B135*'5.Closing Stock &amp; W Capital'!$D$16))*$C193*E$172</f>
        <v>0.0</v>
      </c>
      <c r="F193" s="441">
        <f>((D135*(1-'5.Closing Stock &amp; W Capital'!$D$16))+(C135*'5.Closing Stock &amp; W Capital'!$D$16))*$C193*F$172</f>
        <v>0.0</v>
      </c>
      <c r="G193" s="441">
        <f>((E135*(1-'5.Closing Stock &amp; W Capital'!$D$16))+(D135*'5.Closing Stock &amp; W Capital'!$D$16))*$C193*G$172</f>
        <v>0.0</v>
      </c>
      <c r="H193" s="441">
        <f>((F135*(1-'5.Closing Stock &amp; W Capital'!$D$16))+(E135*'5.Closing Stock &amp; W Capital'!$D$16))*$C193*H$172</f>
        <v>0.0</v>
      </c>
      <c r="I193" s="441">
        <f>((G135*(1-'5.Closing Stock &amp; W Capital'!$D$16))+(F135*'5.Closing Stock &amp; W Capital'!$D$16))*$C193*I$172</f>
        <v>0.0</v>
      </c>
      <c r="J193" s="441">
        <f>((H135*(1-'5.Closing Stock &amp; W Capital'!$D$16))+(G135*'5.Closing Stock &amp; W Capital'!$D$16))*$C193*J$172</f>
        <v>0.0</v>
      </c>
      <c r="K193" s="115"/>
      <c r="L193" s="115"/>
    </row>
    <row r="194" spans="8:8">
      <c r="A194" s="120">
        <f t="shared" si="32"/>
        <v>0.0</v>
      </c>
      <c r="B194" s="120" t="s">
        <v>367</v>
      </c>
      <c r="C194" s="440"/>
      <c r="D194" s="441">
        <f>(B136*(1-'5.Closing Stock &amp; W Capital'!$D$16))*$C194*D$172</f>
        <v>0.0</v>
      </c>
      <c r="E194" s="441">
        <f>((C136*(1-'5.Closing Stock &amp; W Capital'!$D$16))+(B136*'5.Closing Stock &amp; W Capital'!$D$16))*$C194*E$172</f>
        <v>0.0</v>
      </c>
      <c r="F194" s="441">
        <f>((D136*(1-'5.Closing Stock &amp; W Capital'!$D$16))+(C136*'5.Closing Stock &amp; W Capital'!$D$16))*$C194*F$172</f>
        <v>0.0</v>
      </c>
      <c r="G194" s="441">
        <f>((E136*(1-'5.Closing Stock &amp; W Capital'!$D$16))+(D136*'5.Closing Stock &amp; W Capital'!$D$16))*$C194*G$172</f>
        <v>0.0</v>
      </c>
      <c r="H194" s="441">
        <f>((F136*(1-'5.Closing Stock &amp; W Capital'!$D$16))+(E136*'5.Closing Stock &amp; W Capital'!$D$16))*$C194*H$172</f>
        <v>0.0</v>
      </c>
      <c r="I194" s="441">
        <f>((G136*(1-'5.Closing Stock &amp; W Capital'!$D$16))+(F136*'5.Closing Stock &amp; W Capital'!$D$16))*$C194*I$172</f>
        <v>0.0</v>
      </c>
      <c r="J194" s="441">
        <f>((H136*(1-'5.Closing Stock &amp; W Capital'!$D$16))+(G136*'5.Closing Stock &amp; W Capital'!$D$16))*$C194*J$172</f>
        <v>0.0</v>
      </c>
      <c r="K194" s="115"/>
      <c r="L194" s="115"/>
    </row>
    <row r="195" spans="8:8">
      <c r="A195" s="120" t="str">
        <f t="shared" si="32"/>
        <v>Groundnut</v>
      </c>
      <c r="B195" s="120" t="s">
        <v>367</v>
      </c>
      <c r="C195" s="440"/>
      <c r="D195" s="441">
        <f>(B137*(1-'5.Closing Stock &amp; W Capital'!$D$16))*$C195*D$172</f>
        <v>0.0</v>
      </c>
      <c r="E195" s="441">
        <f>((C137*(1-'5.Closing Stock &amp; W Capital'!$D$16))+(B137*'5.Closing Stock &amp; W Capital'!$D$16))*$C195*E$172</f>
        <v>0.0</v>
      </c>
      <c r="F195" s="441">
        <f>((D137*(1-'5.Closing Stock &amp; W Capital'!$D$16))+(C137*'5.Closing Stock &amp; W Capital'!$D$16))*$C195*F$172</f>
        <v>0.0</v>
      </c>
      <c r="G195" s="441">
        <f>((E137*(1-'5.Closing Stock &amp; W Capital'!$D$16))+(D137*'5.Closing Stock &amp; W Capital'!$D$16))*$C195*G$172</f>
        <v>0.0</v>
      </c>
      <c r="H195" s="441">
        <f>((F137*(1-'5.Closing Stock &amp; W Capital'!$D$16))+(E137*'5.Closing Stock &amp; W Capital'!$D$16))*$C195*H$172</f>
        <v>0.0</v>
      </c>
      <c r="I195" s="441">
        <f>((G137*(1-'5.Closing Stock &amp; W Capital'!$D$16))+(F137*'5.Closing Stock &amp; W Capital'!$D$16))*$C195*I$172</f>
        <v>0.0</v>
      </c>
      <c r="J195" s="441">
        <f>((H137*(1-'5.Closing Stock &amp; W Capital'!$D$16))+(G137*'5.Closing Stock &amp; W Capital'!$D$16))*$C195*J$172</f>
        <v>0.0</v>
      </c>
      <c r="K195" s="115"/>
      <c r="L195" s="115"/>
    </row>
    <row r="196" spans="8:8">
      <c r="A196" s="120">
        <f t="shared" si="32"/>
        <v>0.0</v>
      </c>
      <c r="B196" s="120" t="s">
        <v>367</v>
      </c>
      <c r="C196" s="440"/>
      <c r="D196" s="441">
        <f>(B138*(1-'5.Closing Stock &amp; W Capital'!$D$16))*$C196*D$172</f>
        <v>0.0</v>
      </c>
      <c r="E196" s="441">
        <f>((C138*(1-'5.Closing Stock &amp; W Capital'!$D$16))+(B138*'5.Closing Stock &amp; W Capital'!$D$16))*$C196*E$172</f>
        <v>0.0</v>
      </c>
      <c r="F196" s="441">
        <f>((D138*(1-'5.Closing Stock &amp; W Capital'!$D$16))+(C138*'5.Closing Stock &amp; W Capital'!$D$16))*$C196*F$172</f>
        <v>0.0</v>
      </c>
      <c r="G196" s="441">
        <f>((E138*(1-'5.Closing Stock &amp; W Capital'!$D$16))+(D138*'5.Closing Stock &amp; W Capital'!$D$16))*$C196*G$172</f>
        <v>0.0</v>
      </c>
      <c r="H196" s="441">
        <f>((F138*(1-'5.Closing Stock &amp; W Capital'!$D$16))+(E138*'5.Closing Stock &amp; W Capital'!$D$16))*$C196*H$172</f>
        <v>0.0</v>
      </c>
      <c r="I196" s="441">
        <f>((G138*(1-'5.Closing Stock &amp; W Capital'!$D$16))+(F138*'5.Closing Stock &amp; W Capital'!$D$16))*$C196*I$172</f>
        <v>0.0</v>
      </c>
      <c r="J196" s="441">
        <f>((H138*(1-'5.Closing Stock &amp; W Capital'!$D$16))+(G138*'5.Closing Stock &amp; W Capital'!$D$16))*$C196*J$172</f>
        <v>0.0</v>
      </c>
      <c r="K196" s="115"/>
      <c r="L196" s="115"/>
    </row>
    <row r="197" spans="8:8">
      <c r="A197" s="120">
        <f t="shared" si="32"/>
        <v>0.0</v>
      </c>
      <c r="B197" s="120" t="s">
        <v>367</v>
      </c>
      <c r="C197" s="440"/>
      <c r="D197" s="441">
        <f>(B139*(1-'5.Closing Stock &amp; W Capital'!$D$16))*$C197*D$172</f>
        <v>0.0</v>
      </c>
      <c r="E197" s="441">
        <f>((C139*(1-'5.Closing Stock &amp; W Capital'!$D$16))+(B139*'5.Closing Stock &amp; W Capital'!$D$16))*$C197*E$172</f>
        <v>0.0</v>
      </c>
      <c r="F197" s="441">
        <f>((D139*(1-'5.Closing Stock &amp; W Capital'!$D$16))+(C139*'5.Closing Stock &amp; W Capital'!$D$16))*$C197*F$172</f>
        <v>0.0</v>
      </c>
      <c r="G197" s="441">
        <f>((E139*(1-'5.Closing Stock &amp; W Capital'!$D$16))+(D139*'5.Closing Stock &amp; W Capital'!$D$16))*$C197*G$172</f>
        <v>0.0</v>
      </c>
      <c r="H197" s="441">
        <f>((F139*(1-'5.Closing Stock &amp; W Capital'!$D$16))+(E139*'5.Closing Stock &amp; W Capital'!$D$16))*$C197*H$172</f>
        <v>0.0</v>
      </c>
      <c r="I197" s="441">
        <f>((G139*(1-'5.Closing Stock &amp; W Capital'!$D$16))+(F139*'5.Closing Stock &amp; W Capital'!$D$16))*$C197*I$172</f>
        <v>0.0</v>
      </c>
      <c r="J197" s="441">
        <f>((H139*(1-'5.Closing Stock &amp; W Capital'!$D$16))+(G139*'5.Closing Stock &amp; W Capital'!$D$16))*$C197*J$172</f>
        <v>0.0</v>
      </c>
      <c r="K197" s="115"/>
      <c r="L197" s="115"/>
    </row>
    <row r="198" spans="8:8">
      <c r="A198" s="120">
        <f t="shared" si="32"/>
        <v>0.0</v>
      </c>
      <c r="B198" s="120" t="s">
        <v>367</v>
      </c>
      <c r="C198" s="440"/>
      <c r="D198" s="441">
        <f>(B140*(1-'5.Closing Stock &amp; W Capital'!$D$16))*$C198*D$172</f>
        <v>0.0</v>
      </c>
      <c r="E198" s="441">
        <f>((C140*(1-'5.Closing Stock &amp; W Capital'!$D$16))+(B140*'5.Closing Stock &amp; W Capital'!$D$16))*$C198*E$172</f>
        <v>0.0</v>
      </c>
      <c r="F198" s="441">
        <f>((D140*(1-'5.Closing Stock &amp; W Capital'!$D$16))+(C140*'5.Closing Stock &amp; W Capital'!$D$16))*$C198*F$172</f>
        <v>0.0</v>
      </c>
      <c r="G198" s="441">
        <f>((E140*(1-'5.Closing Stock &amp; W Capital'!$D$16))+(D140*'5.Closing Stock &amp; W Capital'!$D$16))*$C198*G$172</f>
        <v>0.0</v>
      </c>
      <c r="H198" s="441">
        <f>((F140*(1-'5.Closing Stock &amp; W Capital'!$D$16))+(E140*'5.Closing Stock &amp; W Capital'!$D$16))*$C198*H$172</f>
        <v>0.0</v>
      </c>
      <c r="I198" s="441">
        <f>((G140*(1-'5.Closing Stock &amp; W Capital'!$D$16))+(F140*'5.Closing Stock &amp; W Capital'!$D$16))*$C198*I$172</f>
        <v>0.0</v>
      </c>
      <c r="J198" s="441">
        <f>((H140*(1-'5.Closing Stock &amp; W Capital'!$D$16))+(G140*'5.Closing Stock &amp; W Capital'!$D$16))*$C198*J$172</f>
        <v>0.0</v>
      </c>
      <c r="K198" s="115"/>
      <c r="L198" s="115"/>
    </row>
    <row r="199" spans="8:8">
      <c r="A199" s="120"/>
      <c r="B199" s="120" t="s">
        <v>367</v>
      </c>
      <c r="C199" s="440"/>
      <c r="D199" s="441">
        <f>(B141*(1-'5.Closing Stock &amp; W Capital'!$D$16))*$C199*D$172</f>
        <v>0.0</v>
      </c>
      <c r="E199" s="441">
        <f>((C141*(1-'5.Closing Stock &amp; W Capital'!$D$16))+(B141*'5.Closing Stock &amp; W Capital'!$D$16))*$C199*E$172</f>
        <v>0.0</v>
      </c>
      <c r="F199" s="441">
        <f>((D141*(1-'5.Closing Stock &amp; W Capital'!$D$16))+(C141*'5.Closing Stock &amp; W Capital'!$D$16))*$C199*F$172</f>
        <v>0.0</v>
      </c>
      <c r="G199" s="441">
        <f>((E141*(1-'5.Closing Stock &amp; W Capital'!$D$16))+(D141*'5.Closing Stock &amp; W Capital'!$D$16))*$C199*G$172</f>
        <v>0.0</v>
      </c>
      <c r="H199" s="441">
        <f>((F141*(1-'5.Closing Stock &amp; W Capital'!$D$16))+(E141*'5.Closing Stock &amp; W Capital'!$D$16))*$C199*H$172</f>
        <v>0.0</v>
      </c>
      <c r="I199" s="441">
        <f>((G141*(1-'5.Closing Stock &amp; W Capital'!$D$16))+(F141*'5.Closing Stock &amp; W Capital'!$D$16))*$C199*I$172</f>
        <v>0.0</v>
      </c>
      <c r="J199" s="441">
        <f>((H141*(1-'5.Closing Stock &amp; W Capital'!$D$16))+(G141*'5.Closing Stock &amp; W Capital'!$D$16))*$C199*J$172</f>
        <v>0.0</v>
      </c>
      <c r="K199" s="115"/>
      <c r="L199" s="115"/>
    </row>
    <row r="200" spans="8:8">
      <c r="A200" s="123" t="s">
        <v>296</v>
      </c>
      <c r="B200" s="120" t="s">
        <v>367</v>
      </c>
      <c r="C200" s="84">
        <v>50.0</v>
      </c>
      <c r="D200" s="441">
        <f t="shared" si="33" ref="D200:J200">B65*$C$200*D172</f>
        <v>0.0</v>
      </c>
      <c r="E200" s="441">
        <f t="shared" si="33"/>
        <v>0.0</v>
      </c>
      <c r="F200" s="441">
        <f t="shared" si="33"/>
        <v>0.0</v>
      </c>
      <c r="G200" s="441">
        <f t="shared" si="33"/>
        <v>0.0</v>
      </c>
      <c r="H200" s="441">
        <f t="shared" si="33"/>
        <v>0.0</v>
      </c>
      <c r="I200" s="441">
        <f t="shared" si="33"/>
        <v>0.0</v>
      </c>
      <c r="J200" s="441">
        <f t="shared" si="33"/>
        <v>0.0</v>
      </c>
      <c r="K200" s="115"/>
      <c r="L200" s="115"/>
    </row>
    <row r="201" spans="8:8">
      <c r="A201" s="123"/>
      <c r="B201" s="123"/>
      <c r="C201" s="123"/>
      <c r="D201" s="120"/>
      <c r="E201" s="120"/>
      <c r="F201" s="120"/>
      <c r="G201" s="120"/>
      <c r="H201" s="120"/>
      <c r="I201" s="120"/>
      <c r="J201" s="120"/>
      <c r="K201" s="115"/>
      <c r="L201" s="115"/>
    </row>
    <row r="202" spans="8:8">
      <c r="A202" s="123" t="str">
        <f t="shared" si="34" ref="A202:A220">A143</f>
        <v>Fruit  &amp; Vegetables Crop Production Details</v>
      </c>
      <c r="B202" s="123"/>
      <c r="C202" s="123"/>
      <c r="D202" s="120"/>
      <c r="E202" s="120"/>
      <c r="F202" s="120"/>
      <c r="G202" s="120"/>
      <c r="H202" s="120"/>
      <c r="I202" s="120"/>
      <c r="J202" s="120"/>
      <c r="K202" s="115"/>
      <c r="L202" s="115"/>
    </row>
    <row r="203" spans="8:8">
      <c r="A203" s="123" t="str">
        <f t="shared" si="34"/>
        <v>Onion</v>
      </c>
      <c r="B203" s="120" t="s">
        <v>367</v>
      </c>
      <c r="C203" s="442">
        <v>2000.0</v>
      </c>
      <c r="D203" s="441">
        <f>(B144*(1-'5.Closing Stock &amp; W Capital'!$D$16))*$C203*D$172</f>
        <v>0.0</v>
      </c>
      <c r="E203" s="441">
        <f>((C144*(1-'5.Closing Stock &amp; W Capital'!$D$16))+(B144*'5.Closing Stock &amp; W Capital'!$D$16))*$C203*E$172</f>
        <v>0.0</v>
      </c>
      <c r="F203" s="441">
        <f>((D144*(1-'5.Closing Stock &amp; W Capital'!$D$16))+(C144*'5.Closing Stock &amp; W Capital'!$D$16))*$C203*F$172</f>
        <v>0.0</v>
      </c>
      <c r="G203" s="441">
        <f>((E144*(1-'5.Closing Stock &amp; W Capital'!$D$16))+(D144*'5.Closing Stock &amp; W Capital'!$D$16))*$C203*G$172</f>
        <v>0.0</v>
      </c>
      <c r="H203" s="441">
        <f>((F144*(1-'5.Closing Stock &amp; W Capital'!$D$16))+(E144*'5.Closing Stock &amp; W Capital'!$D$16))*$C203*H$172</f>
        <v>0.0</v>
      </c>
      <c r="I203" s="441">
        <f>((G144*(1-'5.Closing Stock &amp; W Capital'!$D$16))+(F144*'5.Closing Stock &amp; W Capital'!$D$16))*$C203*I$172</f>
        <v>0.0</v>
      </c>
      <c r="J203" s="441">
        <f>((H144*(1-'5.Closing Stock &amp; W Capital'!$D$16))+(G144*'5.Closing Stock &amp; W Capital'!$D$16))*$C203*J$172</f>
        <v>0.0</v>
      </c>
      <c r="K203" s="115"/>
      <c r="L203" s="115"/>
    </row>
    <row r="204" spans="8:8">
      <c r="A204" s="123" t="str">
        <f t="shared" si="34"/>
        <v>Tomato</v>
      </c>
      <c r="B204" s="120" t="s">
        <v>367</v>
      </c>
      <c r="C204" s="440">
        <v>1000.0</v>
      </c>
      <c r="D204" s="441">
        <f>(B145*(1-'5.Closing Stock &amp; W Capital'!$D$16))*$C204*D$172</f>
        <v>0.0</v>
      </c>
      <c r="E204" s="441">
        <f>((C145*(1-'5.Closing Stock &amp; W Capital'!$D$16))+(B145*'5.Closing Stock &amp; W Capital'!$D$16))*$C204*E$172</f>
        <v>0.0</v>
      </c>
      <c r="F204" s="441">
        <f>((D145*(1-'5.Closing Stock &amp; W Capital'!$D$16))+(C145*'5.Closing Stock &amp; W Capital'!$D$16))*$C204*F$172</f>
        <v>0.0</v>
      </c>
      <c r="G204" s="441">
        <f>((E145*(1-'5.Closing Stock &amp; W Capital'!$D$16))+(D145*'5.Closing Stock &amp; W Capital'!$D$16))*$C204*G$172</f>
        <v>0.0</v>
      </c>
      <c r="H204" s="441">
        <f>((F145*(1-'5.Closing Stock &amp; W Capital'!$D$16))+(E145*'5.Closing Stock &amp; W Capital'!$D$16))*$C204*H$172</f>
        <v>0.0</v>
      </c>
      <c r="I204" s="441">
        <f>((G145*(1-'5.Closing Stock &amp; W Capital'!$D$16))+(F145*'5.Closing Stock &amp; W Capital'!$D$16))*$C204*I$172</f>
        <v>0.0</v>
      </c>
      <c r="J204" s="441">
        <f>((H145*(1-'5.Closing Stock &amp; W Capital'!$D$16))+(G145*'5.Closing Stock &amp; W Capital'!$D$16))*$C204*J$172</f>
        <v>0.0</v>
      </c>
      <c r="K204" s="115"/>
      <c r="L204" s="115"/>
    </row>
    <row r="205" spans="8:8">
      <c r="A205" s="123" t="str">
        <f t="shared" si="34"/>
        <v>Okra</v>
      </c>
      <c r="B205" s="120" t="s">
        <v>367</v>
      </c>
      <c r="C205" s="440">
        <v>1500.0</v>
      </c>
      <c r="D205" s="441">
        <f>(B146*(1-'5.Closing Stock &amp; W Capital'!$D$16))*$C205*D$172</f>
        <v>0.0</v>
      </c>
      <c r="E205" s="441">
        <f>((C146*(1-'5.Closing Stock &amp; W Capital'!$D$16))+(B146*'5.Closing Stock &amp; W Capital'!$D$16))*$C205*E$172</f>
        <v>0.0</v>
      </c>
      <c r="F205" s="441">
        <f>((D146*(1-'5.Closing Stock &amp; W Capital'!$D$16))+(C146*'5.Closing Stock &amp; W Capital'!$D$16))*$C205*F$172</f>
        <v>0.0</v>
      </c>
      <c r="G205" s="441">
        <f>((E146*(1-'5.Closing Stock &amp; W Capital'!$D$16))+(D146*'5.Closing Stock &amp; W Capital'!$D$16))*$C205*G$172</f>
        <v>0.0</v>
      </c>
      <c r="H205" s="441">
        <f>((F146*(1-'5.Closing Stock &amp; W Capital'!$D$16))+(E146*'5.Closing Stock &amp; W Capital'!$D$16))*$C205*H$172</f>
        <v>0.0</v>
      </c>
      <c r="I205" s="441">
        <f>((G146*(1-'5.Closing Stock &amp; W Capital'!$D$16))+(F146*'5.Closing Stock &amp; W Capital'!$D$16))*$C205*I$172</f>
        <v>0.0</v>
      </c>
      <c r="J205" s="441">
        <f>((H146*(1-'5.Closing Stock &amp; W Capital'!$D$16))+(G146*'5.Closing Stock &amp; W Capital'!$D$16))*$C205*J$172</f>
        <v>0.0</v>
      </c>
      <c r="K205" s="115"/>
      <c r="L205" s="115"/>
    </row>
    <row r="206" spans="8:8">
      <c r="A206" s="123" t="str">
        <f t="shared" si="34"/>
        <v>Chilli</v>
      </c>
      <c r="B206" s="120" t="s">
        <v>367</v>
      </c>
      <c r="C206" s="440">
        <v>3000.0</v>
      </c>
      <c r="D206" s="441">
        <f>(B147*(1-'5.Closing Stock &amp; W Capital'!$D$16))*$C206*D$172</f>
        <v>0.0</v>
      </c>
      <c r="E206" s="441">
        <f>((C147*(1-'5.Closing Stock &amp; W Capital'!$D$16))+(B147*'5.Closing Stock &amp; W Capital'!$D$16))*$C206*E$172</f>
        <v>0.0</v>
      </c>
      <c r="F206" s="441">
        <f>((D147*(1-'5.Closing Stock &amp; W Capital'!$D$16))+(C147*'5.Closing Stock &amp; W Capital'!$D$16))*$C206*F$172</f>
        <v>0.0</v>
      </c>
      <c r="G206" s="441">
        <f>((E147*(1-'5.Closing Stock &amp; W Capital'!$D$16))+(D147*'5.Closing Stock &amp; W Capital'!$D$16))*$C206*G$172</f>
        <v>0.0</v>
      </c>
      <c r="H206" s="441">
        <f>((F147*(1-'5.Closing Stock &amp; W Capital'!$D$16))+(E147*'5.Closing Stock &amp; W Capital'!$D$16))*$C206*H$172</f>
        <v>0.0</v>
      </c>
      <c r="I206" s="441">
        <f>((G147*(1-'5.Closing Stock &amp; W Capital'!$D$16))+(F147*'5.Closing Stock &amp; W Capital'!$D$16))*$C206*I$172</f>
        <v>0.0</v>
      </c>
      <c r="J206" s="441">
        <f>((H147*(1-'5.Closing Stock &amp; W Capital'!$D$16))+(G147*'5.Closing Stock &amp; W Capital'!$D$16))*$C206*J$172</f>
        <v>0.0</v>
      </c>
      <c r="K206" s="115"/>
      <c r="L206" s="115"/>
    </row>
    <row r="207" spans="8:8">
      <c r="A207" s="123" t="str">
        <f t="shared" si="34"/>
        <v>Potato</v>
      </c>
      <c r="B207" s="120" t="s">
        <v>367</v>
      </c>
      <c r="C207" s="440">
        <v>1500.0</v>
      </c>
      <c r="D207" s="441">
        <f>(B148*(1-'5.Closing Stock &amp; W Capital'!$D$16))*$C207*D$172</f>
        <v>0.0</v>
      </c>
      <c r="E207" s="441">
        <f>((C148*(1-'5.Closing Stock &amp; W Capital'!$D$16))+(B148*'5.Closing Stock &amp; W Capital'!$D$16))*$C207*E$172</f>
        <v>0.0</v>
      </c>
      <c r="F207" s="441">
        <f>((D148*(1-'5.Closing Stock &amp; W Capital'!$D$16))+(C148*'5.Closing Stock &amp; W Capital'!$D$16))*$C207*F$172</f>
        <v>0.0</v>
      </c>
      <c r="G207" s="441">
        <f>((E148*(1-'5.Closing Stock &amp; W Capital'!$D$16))+(D148*'5.Closing Stock &amp; W Capital'!$D$16))*$C207*G$172</f>
        <v>0.0</v>
      </c>
      <c r="H207" s="441">
        <f>((F148*(1-'5.Closing Stock &amp; W Capital'!$D$16))+(E148*'5.Closing Stock &amp; W Capital'!$D$16))*$C207*H$172</f>
        <v>0.0</v>
      </c>
      <c r="I207" s="441">
        <f>((G148*(1-'5.Closing Stock &amp; W Capital'!$D$16))+(F148*'5.Closing Stock &amp; W Capital'!$D$16))*$C207*I$172</f>
        <v>0.0</v>
      </c>
      <c r="J207" s="441">
        <f>((H148*(1-'5.Closing Stock &amp; W Capital'!$D$16))+(G148*'5.Closing Stock &amp; W Capital'!$D$16))*$C207*J$172</f>
        <v>0.0</v>
      </c>
      <c r="K207" s="115"/>
      <c r="L207" s="115"/>
    </row>
    <row r="208" spans="8:8">
      <c r="A208" s="123">
        <f t="shared" si="34"/>
        <v>0.0</v>
      </c>
      <c r="B208" s="120" t="s">
        <v>367</v>
      </c>
      <c r="C208" s="84"/>
      <c r="D208" s="441">
        <f>(B149*(1-'5.Closing Stock &amp; W Capital'!$D$16))*$C208*D$172</f>
        <v>0.0</v>
      </c>
      <c r="E208" s="441">
        <f>((C149*(1-'5.Closing Stock &amp; W Capital'!$D$16))+(B149*'5.Closing Stock &amp; W Capital'!$D$16))*$C208*E$172</f>
        <v>0.0</v>
      </c>
      <c r="F208" s="441">
        <f>((D149*(1-'5.Closing Stock &amp; W Capital'!$D$16))+(C149*'5.Closing Stock &amp; W Capital'!$D$16))*$C208*F$172</f>
        <v>0.0</v>
      </c>
      <c r="G208" s="441">
        <f>((E149*(1-'5.Closing Stock &amp; W Capital'!$D$16))+(D149*'5.Closing Stock &amp; W Capital'!$D$16))*$C208*G$172</f>
        <v>0.0</v>
      </c>
      <c r="H208" s="441">
        <f>((F149*(1-'5.Closing Stock &amp; W Capital'!$D$16))+(E149*'5.Closing Stock &amp; W Capital'!$D$16))*$C208*H$172</f>
        <v>0.0</v>
      </c>
      <c r="I208" s="441">
        <f>((G149*(1-'5.Closing Stock &amp; W Capital'!$D$16))+(F149*'5.Closing Stock &amp; W Capital'!$D$16))*$C208*I$172</f>
        <v>0.0</v>
      </c>
      <c r="J208" s="441">
        <f>((H149*(1-'5.Closing Stock &amp; W Capital'!$D$16))+(G149*'5.Closing Stock &amp; W Capital'!$D$16))*$C208*J$172</f>
        <v>0.0</v>
      </c>
      <c r="K208" s="115"/>
      <c r="L208" s="115"/>
    </row>
    <row r="209" spans="8:8">
      <c r="A209" s="123">
        <f t="shared" si="34"/>
        <v>0.0</v>
      </c>
      <c r="B209" s="120" t="s">
        <v>367</v>
      </c>
      <c r="C209" s="84"/>
      <c r="D209" s="441">
        <f>(B150*(1-'5.Closing Stock &amp; W Capital'!$D$16))*$C209*D$172</f>
        <v>0.0</v>
      </c>
      <c r="E209" s="441">
        <f>((C150*(1-'5.Closing Stock &amp; W Capital'!$D$16))+(B150*'5.Closing Stock &amp; W Capital'!$D$16))*$C209*E$172</f>
        <v>0.0</v>
      </c>
      <c r="F209" s="441">
        <f>((D150*(1-'5.Closing Stock &amp; W Capital'!$D$16))+(C150*'5.Closing Stock &amp; W Capital'!$D$16))*$C209*F$172</f>
        <v>0.0</v>
      </c>
      <c r="G209" s="441">
        <f>((E150*(1-'5.Closing Stock &amp; W Capital'!$D$16))+(D150*'5.Closing Stock &amp; W Capital'!$D$16))*$C209*G$172</f>
        <v>0.0</v>
      </c>
      <c r="H209" s="441">
        <f>((F150*(1-'5.Closing Stock &amp; W Capital'!$D$16))+(E150*'5.Closing Stock &amp; W Capital'!$D$16))*$C209*H$172</f>
        <v>0.0</v>
      </c>
      <c r="I209" s="441">
        <f>((G150*(1-'5.Closing Stock &amp; W Capital'!$D$16))+(F150*'5.Closing Stock &amp; W Capital'!$D$16))*$C209*I$172</f>
        <v>0.0</v>
      </c>
      <c r="J209" s="441">
        <f>((H150*(1-'5.Closing Stock &amp; W Capital'!$D$16))+(G150*'5.Closing Stock &amp; W Capital'!$D$16))*$C209*J$172</f>
        <v>0.0</v>
      </c>
      <c r="K209" s="115"/>
      <c r="L209" s="115"/>
    </row>
    <row r="210" spans="8:8">
      <c r="A210" s="123">
        <f t="shared" si="34"/>
        <v>0.0</v>
      </c>
      <c r="B210" s="120" t="s">
        <v>367</v>
      </c>
      <c r="C210" s="84"/>
      <c r="D210" s="441">
        <f>(B151*(1-'5.Closing Stock &amp; W Capital'!$D$16))*$C210*D$172</f>
        <v>0.0</v>
      </c>
      <c r="E210" s="441">
        <f>((C151*(1-'5.Closing Stock &amp; W Capital'!$D$16))+(B151*'5.Closing Stock &amp; W Capital'!$D$16))*$C210*E$172</f>
        <v>0.0</v>
      </c>
      <c r="F210" s="441">
        <f>((D151*(1-'5.Closing Stock &amp; W Capital'!$D$16))+(C151*'5.Closing Stock &amp; W Capital'!$D$16))*$C210*F$172</f>
        <v>0.0</v>
      </c>
      <c r="G210" s="441">
        <f>((E151*(1-'5.Closing Stock &amp; W Capital'!$D$16))+(D151*'5.Closing Stock &amp; W Capital'!$D$16))*$C210*G$172</f>
        <v>0.0</v>
      </c>
      <c r="H210" s="441">
        <f>((F151*(1-'5.Closing Stock &amp; W Capital'!$D$16))+(E151*'5.Closing Stock &amp; W Capital'!$D$16))*$C210*H$172</f>
        <v>0.0</v>
      </c>
      <c r="I210" s="441">
        <f>((G151*(1-'5.Closing Stock &amp; W Capital'!$D$16))+(F151*'5.Closing Stock &amp; W Capital'!$D$16))*$C210*I$172</f>
        <v>0.0</v>
      </c>
      <c r="J210" s="441">
        <f>((H151*(1-'5.Closing Stock &amp; W Capital'!$D$16))+(G151*'5.Closing Stock &amp; W Capital'!$D$16))*$C210*J$172</f>
        <v>0.0</v>
      </c>
      <c r="K210" s="115"/>
      <c r="L210" s="115"/>
    </row>
    <row r="211" spans="8:8">
      <c r="A211" s="123">
        <f t="shared" si="34"/>
        <v>0.0</v>
      </c>
      <c r="B211" s="120" t="s">
        <v>367</v>
      </c>
      <c r="C211" s="84"/>
      <c r="D211" s="441">
        <f>(B152*(1-'5.Closing Stock &amp; W Capital'!$D$16))*$C211*D$172</f>
        <v>0.0</v>
      </c>
      <c r="E211" s="441">
        <f>((C152*(1-'5.Closing Stock &amp; W Capital'!$D$16))+(B152*'5.Closing Stock &amp; W Capital'!$D$16))*$C211*E$172</f>
        <v>0.0</v>
      </c>
      <c r="F211" s="441">
        <f>((D152*(1-'5.Closing Stock &amp; W Capital'!$D$16))+(C152*'5.Closing Stock &amp; W Capital'!$D$16))*$C211*F$172</f>
        <v>0.0</v>
      </c>
      <c r="G211" s="441">
        <f>((E152*(1-'5.Closing Stock &amp; W Capital'!$D$16))+(D152*'5.Closing Stock &amp; W Capital'!$D$16))*$C211*G$172</f>
        <v>0.0</v>
      </c>
      <c r="H211" s="441">
        <f>((F152*(1-'5.Closing Stock &amp; W Capital'!$D$16))+(E152*'5.Closing Stock &amp; W Capital'!$D$16))*$C211*H$172</f>
        <v>0.0</v>
      </c>
      <c r="I211" s="441">
        <f>((G152*(1-'5.Closing Stock &amp; W Capital'!$D$16))+(F152*'5.Closing Stock &amp; W Capital'!$D$16))*$C211*I$172</f>
        <v>0.0</v>
      </c>
      <c r="J211" s="441">
        <f>((H152*(1-'5.Closing Stock &amp; W Capital'!$D$16))+(G152*'5.Closing Stock &amp; W Capital'!$D$16))*$C211*J$172</f>
        <v>0.0</v>
      </c>
      <c r="K211" s="115"/>
      <c r="L211" s="115"/>
    </row>
    <row r="212" spans="8:8">
      <c r="A212" s="123" t="str">
        <f t="shared" si="34"/>
        <v>Onion</v>
      </c>
      <c r="B212" s="120" t="s">
        <v>367</v>
      </c>
      <c r="C212" s="440">
        <v>2000.0</v>
      </c>
      <c r="D212" s="441">
        <f>(B153*(1-'5.Closing Stock &amp; W Capital'!$D$16))*$C212*D$172</f>
        <v>0.0</v>
      </c>
      <c r="E212" s="441">
        <f>((C153*(1-'5.Closing Stock &amp; W Capital'!$D$16))+(B153*'5.Closing Stock &amp; W Capital'!$D$16))*$C212*E$172</f>
        <v>0.0</v>
      </c>
      <c r="F212" s="441">
        <f>((D153*(1-'5.Closing Stock &amp; W Capital'!$D$16))+(C153*'5.Closing Stock &amp; W Capital'!$D$16))*$C212*F$172</f>
        <v>0.0</v>
      </c>
      <c r="G212" s="441">
        <f>((E153*(1-'5.Closing Stock &amp; W Capital'!$D$16))+(D153*'5.Closing Stock &amp; W Capital'!$D$16))*$C212*G$172</f>
        <v>0.0</v>
      </c>
      <c r="H212" s="441">
        <f>((F153*(1-'5.Closing Stock &amp; W Capital'!$D$16))+(E153*'5.Closing Stock &amp; W Capital'!$D$16))*$C212*H$172</f>
        <v>0.0</v>
      </c>
      <c r="I212" s="441">
        <f>((G153*(1-'5.Closing Stock &amp; W Capital'!$D$16))+(F153*'5.Closing Stock &amp; W Capital'!$D$16))*$C212*I$172</f>
        <v>0.0</v>
      </c>
      <c r="J212" s="441">
        <f>((H153*(1-'5.Closing Stock &amp; W Capital'!$D$16))+(G153*'5.Closing Stock &amp; W Capital'!$D$16))*$C212*J$172</f>
        <v>0.0</v>
      </c>
      <c r="K212" s="115"/>
      <c r="L212" s="115"/>
    </row>
    <row r="213" spans="8:8">
      <c r="A213" s="123" t="str">
        <f t="shared" si="34"/>
        <v>Tomato</v>
      </c>
      <c r="B213" s="120" t="s">
        <v>367</v>
      </c>
      <c r="C213" s="440">
        <v>1000.0</v>
      </c>
      <c r="D213" s="441">
        <f>(B154*(1-'5.Closing Stock &amp; W Capital'!$D$16))*$C213*D$172</f>
        <v>0.0</v>
      </c>
      <c r="E213" s="441">
        <f>((C154*(1-'5.Closing Stock &amp; W Capital'!$D$16))+(B154*'5.Closing Stock &amp; W Capital'!$D$16))*$C213*E$172</f>
        <v>0.0</v>
      </c>
      <c r="F213" s="441">
        <f>((D154*(1-'5.Closing Stock &amp; W Capital'!$D$16))+(C154*'5.Closing Stock &amp; W Capital'!$D$16))*$C213*F$172</f>
        <v>0.0</v>
      </c>
      <c r="G213" s="441">
        <f>((E154*(1-'5.Closing Stock &amp; W Capital'!$D$16))+(D154*'5.Closing Stock &amp; W Capital'!$D$16))*$C213*G$172</f>
        <v>0.0</v>
      </c>
      <c r="H213" s="441">
        <f>((F154*(1-'5.Closing Stock &amp; W Capital'!$D$16))+(E154*'5.Closing Stock &amp; W Capital'!$D$16))*$C213*H$172</f>
        <v>0.0</v>
      </c>
      <c r="I213" s="441">
        <f>((G154*(1-'5.Closing Stock &amp; W Capital'!$D$16))+(F154*'5.Closing Stock &amp; W Capital'!$D$16))*$C213*I$172</f>
        <v>0.0</v>
      </c>
      <c r="J213" s="441">
        <f>((H154*(1-'5.Closing Stock &amp; W Capital'!$D$16))+(G154*'5.Closing Stock &amp; W Capital'!$D$16))*$C213*J$172</f>
        <v>0.0</v>
      </c>
      <c r="K213" s="115"/>
      <c r="L213" s="115"/>
    </row>
    <row r="214" spans="8:8">
      <c r="A214" s="123" t="str">
        <f t="shared" si="34"/>
        <v>Okra</v>
      </c>
      <c r="B214" s="120" t="s">
        <v>367</v>
      </c>
      <c r="C214" s="440">
        <v>1500.0</v>
      </c>
      <c r="D214" s="441">
        <f>(B155*(1-'5.Closing Stock &amp; W Capital'!$D$16))*$C214*D$172</f>
        <v>0.0</v>
      </c>
      <c r="E214" s="441">
        <f>((C155*(1-'5.Closing Stock &amp; W Capital'!$D$16))+(B155*'5.Closing Stock &amp; W Capital'!$D$16))*$C214*E$172</f>
        <v>0.0</v>
      </c>
      <c r="F214" s="441">
        <f>((D155*(1-'5.Closing Stock &amp; W Capital'!$D$16))+(C155*'5.Closing Stock &amp; W Capital'!$D$16))*$C214*F$172</f>
        <v>0.0</v>
      </c>
      <c r="G214" s="441">
        <f>((E155*(1-'5.Closing Stock &amp; W Capital'!$D$16))+(D155*'5.Closing Stock &amp; W Capital'!$D$16))*$C214*G$172</f>
        <v>0.0</v>
      </c>
      <c r="H214" s="441">
        <f>((F155*(1-'5.Closing Stock &amp; W Capital'!$D$16))+(E155*'5.Closing Stock &amp; W Capital'!$D$16))*$C214*H$172</f>
        <v>0.0</v>
      </c>
      <c r="I214" s="441">
        <f>((G155*(1-'5.Closing Stock &amp; W Capital'!$D$16))+(F155*'5.Closing Stock &amp; W Capital'!$D$16))*$C214*I$172</f>
        <v>0.0</v>
      </c>
      <c r="J214" s="441">
        <f>((H155*(1-'5.Closing Stock &amp; W Capital'!$D$16))+(G155*'5.Closing Stock &amp; W Capital'!$D$16))*$C214*J$172</f>
        <v>0.0</v>
      </c>
      <c r="K214" s="115"/>
      <c r="L214" s="115"/>
    </row>
    <row r="215" spans="8:8">
      <c r="A215" s="123" t="str">
        <f t="shared" si="34"/>
        <v>Chilli</v>
      </c>
      <c r="B215" s="120" t="s">
        <v>367</v>
      </c>
      <c r="C215" s="440">
        <v>3000.0</v>
      </c>
      <c r="D215" s="441">
        <f>(B156*(1-'5.Closing Stock &amp; W Capital'!$D$16))*$C215*D$172</f>
        <v>0.0</v>
      </c>
      <c r="E215" s="441">
        <f>((C156*(1-'5.Closing Stock &amp; W Capital'!$D$16))+(B156*'5.Closing Stock &amp; W Capital'!$D$16))*$C215*E$172</f>
        <v>0.0</v>
      </c>
      <c r="F215" s="441">
        <f>((D156*(1-'5.Closing Stock &amp; W Capital'!$D$16))+(C156*'5.Closing Stock &amp; W Capital'!$D$16))*$C215*F$172</f>
        <v>0.0</v>
      </c>
      <c r="G215" s="441">
        <f>((E156*(1-'5.Closing Stock &amp; W Capital'!$D$16))+(D156*'5.Closing Stock &amp; W Capital'!$D$16))*$C215*G$172</f>
        <v>0.0</v>
      </c>
      <c r="H215" s="441">
        <f>((F156*(1-'5.Closing Stock &amp; W Capital'!$D$16))+(E156*'5.Closing Stock &amp; W Capital'!$D$16))*$C215*H$172</f>
        <v>0.0</v>
      </c>
      <c r="I215" s="441">
        <f>((G156*(1-'5.Closing Stock &amp; W Capital'!$D$16))+(F156*'5.Closing Stock &amp; W Capital'!$D$16))*$C215*I$172</f>
        <v>0.0</v>
      </c>
      <c r="J215" s="441">
        <f>((H156*(1-'5.Closing Stock &amp; W Capital'!$D$16))+(G156*'5.Closing Stock &amp; W Capital'!$D$16))*$C215*J$172</f>
        <v>0.0</v>
      </c>
      <c r="K215" s="115"/>
      <c r="L215" s="115"/>
    </row>
    <row r="216" spans="8:8">
      <c r="A216" s="123" t="str">
        <f t="shared" si="34"/>
        <v>Brinjal</v>
      </c>
      <c r="B216" s="120" t="s">
        <v>367</v>
      </c>
      <c r="C216" s="440">
        <v>2000.0</v>
      </c>
      <c r="D216" s="441">
        <f>(B157*(1-'5.Closing Stock &amp; W Capital'!$D$16))*$C216*D$172</f>
        <v>0.0</v>
      </c>
      <c r="E216" s="441">
        <f>((C157*(1-'5.Closing Stock &amp; W Capital'!$D$16))+(B157*'5.Closing Stock &amp; W Capital'!$D$16))*$C216*E$172</f>
        <v>0.0</v>
      </c>
      <c r="F216" s="441">
        <f>((D157*(1-'5.Closing Stock &amp; W Capital'!$D$16))+(C157*'5.Closing Stock &amp; W Capital'!$D$16))*$C216*F$172</f>
        <v>0.0</v>
      </c>
      <c r="G216" s="441">
        <f>((E157*(1-'5.Closing Stock &amp; W Capital'!$D$16))+(D157*'5.Closing Stock &amp; W Capital'!$D$16))*$C216*G$172</f>
        <v>0.0</v>
      </c>
      <c r="H216" s="441">
        <f>((F157*(1-'5.Closing Stock &amp; W Capital'!$D$16))+(E157*'5.Closing Stock &amp; W Capital'!$D$16))*$C216*H$172</f>
        <v>0.0</v>
      </c>
      <c r="I216" s="441">
        <f>((G157*(1-'5.Closing Stock &amp; W Capital'!$D$16))+(F157*'5.Closing Stock &amp; W Capital'!$D$16))*$C216*I$172</f>
        <v>0.0</v>
      </c>
      <c r="J216" s="441">
        <f>((H157*(1-'5.Closing Stock &amp; W Capital'!$D$16))+(G157*'5.Closing Stock &amp; W Capital'!$D$16))*$C216*J$172</f>
        <v>0.0</v>
      </c>
      <c r="K216" s="115"/>
      <c r="L216" s="115"/>
    </row>
    <row r="217" spans="8:8">
      <c r="A217" s="123">
        <f t="shared" si="34"/>
        <v>0.0</v>
      </c>
      <c r="B217" s="120" t="s">
        <v>367</v>
      </c>
      <c r="C217" s="440"/>
      <c r="D217" s="441">
        <f>(B158*(1-'5.Closing Stock &amp; W Capital'!$D$16))*$C217*D$172</f>
        <v>0.0</v>
      </c>
      <c r="E217" s="441">
        <f>((C158*(1-'5.Closing Stock &amp; W Capital'!$D$16))+(B158*'5.Closing Stock &amp; W Capital'!$D$16))*$C217*E$172</f>
        <v>0.0</v>
      </c>
      <c r="F217" s="441">
        <f>((D158*(1-'5.Closing Stock &amp; W Capital'!$D$16))+(C158*'5.Closing Stock &amp; W Capital'!$D$16))*$C217*F$172</f>
        <v>0.0</v>
      </c>
      <c r="G217" s="441">
        <f>((E158*(1-'5.Closing Stock &amp; W Capital'!$D$16))+(D158*'5.Closing Stock &amp; W Capital'!$D$16))*$C217*G$172</f>
        <v>0.0</v>
      </c>
      <c r="H217" s="441">
        <f>((F158*(1-'5.Closing Stock &amp; W Capital'!$D$16))+(E158*'5.Closing Stock &amp; W Capital'!$D$16))*$C217*H$172</f>
        <v>0.0</v>
      </c>
      <c r="I217" s="441">
        <f>((G158*(1-'5.Closing Stock &amp; W Capital'!$D$16))+(F158*'5.Closing Stock &amp; W Capital'!$D$16))*$C217*I$172</f>
        <v>0.0</v>
      </c>
      <c r="J217" s="441">
        <f>((H158*(1-'5.Closing Stock &amp; W Capital'!$D$16))+(G158*'5.Closing Stock &amp; W Capital'!$D$16))*$C217*J$172</f>
        <v>0.0</v>
      </c>
      <c r="K217" s="115"/>
      <c r="L217" s="115"/>
    </row>
    <row r="218" spans="8:8">
      <c r="A218" s="123">
        <f t="shared" si="34"/>
        <v>0.0</v>
      </c>
      <c r="B218" s="120" t="s">
        <v>367</v>
      </c>
      <c r="C218" s="440"/>
      <c r="D218" s="441">
        <f>(B159*(1-'5.Closing Stock &amp; W Capital'!$D$16))*$C218*D$172</f>
        <v>0.0</v>
      </c>
      <c r="E218" s="441">
        <f>((C159*(1-'5.Closing Stock &amp; W Capital'!$D$16))+(B159*'5.Closing Stock &amp; W Capital'!$D$16))*$C218*E$172</f>
        <v>0.0</v>
      </c>
      <c r="F218" s="441">
        <f>((D159*(1-'5.Closing Stock &amp; W Capital'!$D$16))+(C159*'5.Closing Stock &amp; W Capital'!$D$16))*$C218*F$172</f>
        <v>0.0</v>
      </c>
      <c r="G218" s="441">
        <f>((E159*(1-'5.Closing Stock &amp; W Capital'!$D$16))+(D159*'5.Closing Stock &amp; W Capital'!$D$16))*$C218*G$172</f>
        <v>0.0</v>
      </c>
      <c r="H218" s="441">
        <f>((F159*(1-'5.Closing Stock &amp; W Capital'!$D$16))+(E159*'5.Closing Stock &amp; W Capital'!$D$16))*$C218*H$172</f>
        <v>0.0</v>
      </c>
      <c r="I218" s="441">
        <f>((G159*(1-'5.Closing Stock &amp; W Capital'!$D$16))+(F159*'5.Closing Stock &amp; W Capital'!$D$16))*$C218*I$172</f>
        <v>0.0</v>
      </c>
      <c r="J218" s="441">
        <f>((H159*(1-'5.Closing Stock &amp; W Capital'!$D$16))+(G159*'5.Closing Stock &amp; W Capital'!$D$16))*$C218*J$172</f>
        <v>0.0</v>
      </c>
      <c r="K218" s="115"/>
      <c r="L218" s="115"/>
    </row>
    <row r="219" spans="8:8">
      <c r="A219" s="123">
        <f t="shared" si="34"/>
        <v>0.0</v>
      </c>
      <c r="B219" s="120" t="s">
        <v>367</v>
      </c>
      <c r="C219" s="440"/>
      <c r="D219" s="441">
        <f>(B160*(1-'5.Closing Stock &amp; W Capital'!$D$16))*$C219*D$172</f>
        <v>0.0</v>
      </c>
      <c r="E219" s="441">
        <f>((C160*(1-'5.Closing Stock &amp; W Capital'!$D$16))+(B160*'5.Closing Stock &amp; W Capital'!$D$16))*$C219*E$172</f>
        <v>0.0</v>
      </c>
      <c r="F219" s="441">
        <f>((D160*(1-'5.Closing Stock &amp; W Capital'!$D$16))+(C160*'5.Closing Stock &amp; W Capital'!$D$16))*$C219*F$172</f>
        <v>0.0</v>
      </c>
      <c r="G219" s="441">
        <f>((E160*(1-'5.Closing Stock &amp; W Capital'!$D$16))+(D160*'5.Closing Stock &amp; W Capital'!$D$16))*$C219*G$172</f>
        <v>0.0</v>
      </c>
      <c r="H219" s="441">
        <f>((F160*(1-'5.Closing Stock &amp; W Capital'!$D$16))+(E160*'5.Closing Stock &amp; W Capital'!$D$16))*$C219*H$172</f>
        <v>0.0</v>
      </c>
      <c r="I219" s="441">
        <f>((G160*(1-'5.Closing Stock &amp; W Capital'!$D$16))+(F160*'5.Closing Stock &amp; W Capital'!$D$16))*$C219*I$172</f>
        <v>0.0</v>
      </c>
      <c r="J219" s="441">
        <f>((H160*(1-'5.Closing Stock &amp; W Capital'!$D$16))+(G160*'5.Closing Stock &amp; W Capital'!$D$16))*$C219*J$172</f>
        <v>0.0</v>
      </c>
      <c r="K219" s="115"/>
      <c r="L219" s="115"/>
    </row>
    <row r="220" spans="8:8">
      <c r="A220" s="123">
        <f t="shared" si="34"/>
        <v>0.0</v>
      </c>
      <c r="B220" s="120" t="s">
        <v>367</v>
      </c>
      <c r="C220" s="440"/>
      <c r="D220" s="441">
        <f>(B161*(1-'5.Closing Stock &amp; W Capital'!$D$16))*$C220*D$172</f>
        <v>0.0</v>
      </c>
      <c r="E220" s="441">
        <f>((C161*(1-'5.Closing Stock &amp; W Capital'!$D$16))+(B161*'5.Closing Stock &amp; W Capital'!$D$16))*$C220*E$172</f>
        <v>0.0</v>
      </c>
      <c r="F220" s="441">
        <f>((D161*(1-'5.Closing Stock &amp; W Capital'!$D$16))+(C161*'5.Closing Stock &amp; W Capital'!$D$16))*$C220*F$172</f>
        <v>0.0</v>
      </c>
      <c r="G220" s="441">
        <f>((E161*(1-'5.Closing Stock &amp; W Capital'!$D$16))+(D161*'5.Closing Stock &amp; W Capital'!$D$16))*$C220*G$172</f>
        <v>0.0</v>
      </c>
      <c r="H220" s="441">
        <f>((F161*(1-'5.Closing Stock &amp; W Capital'!$D$16))+(E161*'5.Closing Stock &amp; W Capital'!$D$16))*$C220*H$172</f>
        <v>0.0</v>
      </c>
      <c r="I220" s="441">
        <f>((G161*(1-'5.Closing Stock &amp; W Capital'!$D$16))+(F161*'5.Closing Stock &amp; W Capital'!$D$16))*$C220*I$172</f>
        <v>0.0</v>
      </c>
      <c r="J220" s="441">
        <f>((H161*(1-'5.Closing Stock &amp; W Capital'!$D$16))+(G161*'5.Closing Stock &amp; W Capital'!$D$16))*$C220*J$172</f>
        <v>0.0</v>
      </c>
      <c r="K220" s="115"/>
      <c r="L220" s="115"/>
    </row>
    <row r="221" spans="8:8">
      <c r="A221" s="123">
        <f t="shared" si="35" ref="A221:A223">A162</f>
        <v>0.0</v>
      </c>
      <c r="B221" s="120" t="s">
        <v>367</v>
      </c>
      <c r="C221" s="440"/>
      <c r="D221" s="441">
        <f>(B162*(1-'5.Closing Stock &amp; W Capital'!$D$16))*$C221*D$172</f>
        <v>0.0</v>
      </c>
      <c r="E221" s="441">
        <f>((C162*(1-'5.Closing Stock &amp; W Capital'!$D$16))+(B162*'5.Closing Stock &amp; W Capital'!$D$16))*$C221*E$172</f>
        <v>0.0</v>
      </c>
      <c r="F221" s="441">
        <f>((D162*(1-'5.Closing Stock &amp; W Capital'!$D$16))+(C162*'5.Closing Stock &amp; W Capital'!$D$16))*$C221*F$172</f>
        <v>0.0</v>
      </c>
      <c r="G221" s="441">
        <f>((E162*(1-'5.Closing Stock &amp; W Capital'!$D$16))+(D162*'5.Closing Stock &amp; W Capital'!$D$16))*$C221*G$172</f>
        <v>0.0</v>
      </c>
      <c r="H221" s="441">
        <f>((F162*(1-'5.Closing Stock &amp; W Capital'!$D$16))+(E162*'5.Closing Stock &amp; W Capital'!$D$16))*$C221*H$172</f>
        <v>0.0</v>
      </c>
      <c r="I221" s="441">
        <f>((G162*(1-'5.Closing Stock &amp; W Capital'!$D$16))+(F162*'5.Closing Stock &amp; W Capital'!$D$16))*$C221*I$172</f>
        <v>0.0</v>
      </c>
      <c r="J221" s="441">
        <f>((H162*(1-'5.Closing Stock &amp; W Capital'!$D$16))+(G162*'5.Closing Stock &amp; W Capital'!$D$16))*$C221*J$172</f>
        <v>0.0</v>
      </c>
      <c r="K221" s="115"/>
      <c r="L221" s="115"/>
    </row>
    <row r="222" spans="8:8">
      <c r="A222" s="123">
        <f t="shared" si="35"/>
        <v>0.0</v>
      </c>
      <c r="B222" s="120" t="s">
        <v>367</v>
      </c>
      <c r="C222" s="440"/>
      <c r="D222" s="441">
        <f>(B163*(1-'5.Closing Stock &amp; W Capital'!$D$16))*$C222*D$172</f>
        <v>0.0</v>
      </c>
      <c r="E222" s="441">
        <f>((C163*(1-'5.Closing Stock &amp; W Capital'!$D$16))+(B163*'5.Closing Stock &amp; W Capital'!$D$16))*$C222*E$172</f>
        <v>0.0</v>
      </c>
      <c r="F222" s="441">
        <f>((D163*(1-'5.Closing Stock &amp; W Capital'!$D$16))+(C163*'5.Closing Stock &amp; W Capital'!$D$16))*$C222*F$172</f>
        <v>0.0</v>
      </c>
      <c r="G222" s="441">
        <f>((E163*(1-'5.Closing Stock &amp; W Capital'!$D$16))+(D163*'5.Closing Stock &amp; W Capital'!$D$16))*$C222*G$172</f>
        <v>0.0</v>
      </c>
      <c r="H222" s="441">
        <f>((F163*(1-'5.Closing Stock &amp; W Capital'!$D$16))+(E163*'5.Closing Stock &amp; W Capital'!$D$16))*$C222*H$172</f>
        <v>0.0</v>
      </c>
      <c r="I222" s="441">
        <f>((G163*(1-'5.Closing Stock &amp; W Capital'!$D$16))+(F163*'5.Closing Stock &amp; W Capital'!$D$16))*$C222*I$172</f>
        <v>0.0</v>
      </c>
      <c r="J222" s="441">
        <f>((H163*(1-'5.Closing Stock &amp; W Capital'!$D$16))+(G163*'5.Closing Stock &amp; W Capital'!$D$16))*$C222*J$172</f>
        <v>0.0</v>
      </c>
      <c r="K222" s="115"/>
      <c r="L222" s="115"/>
    </row>
    <row r="223" spans="8:8">
      <c r="A223" s="123">
        <f t="shared" si="35"/>
        <v>0.0</v>
      </c>
      <c r="B223" s="120" t="s">
        <v>367</v>
      </c>
      <c r="C223" s="440"/>
      <c r="D223" s="441">
        <f>(B164*(1-'5.Closing Stock &amp; W Capital'!$D$16))*$C223*D$172</f>
        <v>0.0</v>
      </c>
      <c r="E223" s="441">
        <f>((C164*(1-'5.Closing Stock &amp; W Capital'!$D$16))+(B164*'5.Closing Stock &amp; W Capital'!$D$16))*$C223*E$172</f>
        <v>0.0</v>
      </c>
      <c r="F223" s="441">
        <f>((D164*(1-'5.Closing Stock &amp; W Capital'!$D$16))+(C164*'5.Closing Stock &amp; W Capital'!$D$16))*$C223*F$172</f>
        <v>0.0</v>
      </c>
      <c r="G223" s="441">
        <f>((E164*(1-'5.Closing Stock &amp; W Capital'!$D$16))+(D164*'5.Closing Stock &amp; W Capital'!$D$16))*$C223*G$172</f>
        <v>0.0</v>
      </c>
      <c r="H223" s="441">
        <f>((F164*(1-'5.Closing Stock &amp; W Capital'!$D$16))+(E164*'5.Closing Stock &amp; W Capital'!$D$16))*$C223*H$172</f>
        <v>0.0</v>
      </c>
      <c r="I223" s="441">
        <f>((G164*(1-'5.Closing Stock &amp; W Capital'!$D$16))+(F164*'5.Closing Stock &amp; W Capital'!$D$16))*$C223*I$172</f>
        <v>0.0</v>
      </c>
      <c r="J223" s="441">
        <f>((H164*(1-'5.Closing Stock &amp; W Capital'!$D$16))+(G164*'5.Closing Stock &amp; W Capital'!$D$16))*$C223*J$172</f>
        <v>0.0</v>
      </c>
      <c r="K223" s="115"/>
      <c r="L223" s="115"/>
    </row>
    <row r="224" spans="8:8">
      <c r="A224" s="123" t="str">
        <f t="shared" si="36" ref="A224:A227">A165</f>
        <v>Pomegranate</v>
      </c>
      <c r="B224" s="120" t="s">
        <v>367</v>
      </c>
      <c r="C224" s="440">
        <v>5000.0</v>
      </c>
      <c r="D224" s="441">
        <f>(B165*(1-'5.Closing Stock &amp; W Capital'!$D$16))*$C224*D$172</f>
        <v>0.0</v>
      </c>
      <c r="E224" s="441">
        <f>((C165*(1-'5.Closing Stock &amp; W Capital'!$D$16))+(B165*'5.Closing Stock &amp; W Capital'!$D$16))*$C224*E$172</f>
        <v>0.0</v>
      </c>
      <c r="F224" s="441">
        <f>((D165*(1-'5.Closing Stock &amp; W Capital'!$D$16))+(C165*'5.Closing Stock &amp; W Capital'!$D$16))*$C224*F$172</f>
        <v>0.0</v>
      </c>
      <c r="G224" s="441">
        <f>((E165*(1-'5.Closing Stock &amp; W Capital'!$D$16))+(D165*'5.Closing Stock &amp; W Capital'!$D$16))*$C224*G$172</f>
        <v>0.0</v>
      </c>
      <c r="H224" s="441">
        <f>((F165*(1-'5.Closing Stock &amp; W Capital'!$D$16))+(E165*'5.Closing Stock &amp; W Capital'!$D$16))*$C224*H$172</f>
        <v>0.0</v>
      </c>
      <c r="I224" s="441">
        <f>((G165*(1-'5.Closing Stock &amp; W Capital'!$D$16))+(F165*'5.Closing Stock &amp; W Capital'!$D$16))*$C224*I$172</f>
        <v>0.0</v>
      </c>
      <c r="J224" s="441">
        <f>((H165*(1-'5.Closing Stock &amp; W Capital'!$D$16))+(G165*'5.Closing Stock &amp; W Capital'!$D$16))*$C224*J$172</f>
        <v>0.0</v>
      </c>
      <c r="K224" s="115"/>
      <c r="L224" s="115"/>
    </row>
    <row r="225" spans="8:8">
      <c r="A225" s="123" t="str">
        <f t="shared" si="36"/>
        <v>Custard Apple</v>
      </c>
      <c r="B225" s="120" t="s">
        <v>367</v>
      </c>
      <c r="C225" s="440"/>
      <c r="D225" s="441">
        <f>(B166*(1-'5.Closing Stock &amp; W Capital'!$D$16))*$C225*D$172</f>
        <v>0.0</v>
      </c>
      <c r="E225" s="441">
        <f>((C166*(1-'5.Closing Stock &amp; W Capital'!$D$16))+(B166*'5.Closing Stock &amp; W Capital'!$D$16))*$C225*E$172</f>
        <v>0.0</v>
      </c>
      <c r="F225" s="441">
        <f>((D166*(1-'5.Closing Stock &amp; W Capital'!$D$16))+(C166*'5.Closing Stock &amp; W Capital'!$D$16))*$C225*F$172</f>
        <v>0.0</v>
      </c>
      <c r="G225" s="441">
        <f>((E166*(1-'5.Closing Stock &amp; W Capital'!$D$16))+(D166*'5.Closing Stock &amp; W Capital'!$D$16))*$C225*G$172</f>
        <v>0.0</v>
      </c>
      <c r="H225" s="441">
        <f>((F166*(1-'5.Closing Stock &amp; W Capital'!$D$16))+(E166*'5.Closing Stock &amp; W Capital'!$D$16))*$C225*H$172</f>
        <v>0.0</v>
      </c>
      <c r="I225" s="441">
        <f>((G166*(1-'5.Closing Stock &amp; W Capital'!$D$16))+(F166*'5.Closing Stock &amp; W Capital'!$D$16))*$C225*I$172</f>
        <v>0.0</v>
      </c>
      <c r="J225" s="441">
        <f>((H166*(1-'5.Closing Stock &amp; W Capital'!$D$16))+(G166*'5.Closing Stock &amp; W Capital'!$D$16))*$C225*J$172</f>
        <v>0.0</v>
      </c>
      <c r="K225" s="115"/>
      <c r="L225" s="115"/>
    </row>
    <row r="226" spans="8:8">
      <c r="A226" s="123" t="str">
        <f t="shared" si="36"/>
        <v>Guava</v>
      </c>
      <c r="B226" s="120" t="s">
        <v>367</v>
      </c>
      <c r="C226" s="440"/>
      <c r="D226" s="441">
        <f>(B167*(1-'5.Closing Stock &amp; W Capital'!$D$16))*$C226*D$172</f>
        <v>0.0</v>
      </c>
      <c r="E226" s="441">
        <f>((C167*(1-'5.Closing Stock &amp; W Capital'!$D$16))+(B167*'5.Closing Stock &amp; W Capital'!$D$16))*$C226*E$172</f>
        <v>0.0</v>
      </c>
      <c r="F226" s="441">
        <f>((D167*(1-'5.Closing Stock &amp; W Capital'!$D$16))+(C167*'5.Closing Stock &amp; W Capital'!$D$16))*$C226*F$172</f>
        <v>0.0</v>
      </c>
      <c r="G226" s="441">
        <f>((E167*(1-'5.Closing Stock &amp; W Capital'!$D$16))+(D167*'5.Closing Stock &amp; W Capital'!$D$16))*$C226*G$172</f>
        <v>0.0</v>
      </c>
      <c r="H226" s="441">
        <f>((F167*(1-'5.Closing Stock &amp; W Capital'!$D$16))+(E167*'5.Closing Stock &amp; W Capital'!$D$16))*$C226*H$172</f>
        <v>0.0</v>
      </c>
      <c r="I226" s="441">
        <f>((G167*(1-'5.Closing Stock &amp; W Capital'!$D$16))+(F167*'5.Closing Stock &amp; W Capital'!$D$16))*$C226*I$172</f>
        <v>0.0</v>
      </c>
      <c r="J226" s="441">
        <f>((H167*(1-'5.Closing Stock &amp; W Capital'!$D$16))+(G167*'5.Closing Stock &amp; W Capital'!$D$16))*$C226*J$172</f>
        <v>0.0</v>
      </c>
      <c r="K226" s="115"/>
      <c r="L226" s="115"/>
    </row>
    <row r="227" spans="8:8">
      <c r="A227" s="123" t="str">
        <f t="shared" si="36"/>
        <v>Citrus</v>
      </c>
      <c r="B227" s="120" t="s">
        <v>367</v>
      </c>
      <c r="C227" s="440"/>
      <c r="D227" s="441">
        <f>(B168*(1-'5.Closing Stock &amp; W Capital'!$D$16))*$C227*D$172</f>
        <v>0.0</v>
      </c>
      <c r="E227" s="441">
        <f>((C168*(1-'5.Closing Stock &amp; W Capital'!$D$16))+(B168*'5.Closing Stock &amp; W Capital'!$D$16))*$C227*E$172</f>
        <v>0.0</v>
      </c>
      <c r="F227" s="441">
        <f>((D168*(1-'5.Closing Stock &amp; W Capital'!$D$16))+(C168*'5.Closing Stock &amp; W Capital'!$D$16))*$C227*F$172</f>
        <v>0.0</v>
      </c>
      <c r="G227" s="441">
        <f>((E168*(1-'5.Closing Stock &amp; W Capital'!$D$16))+(D168*'5.Closing Stock &amp; W Capital'!$D$16))*$C227*G$172</f>
        <v>0.0</v>
      </c>
      <c r="H227" s="441">
        <f>((F168*(1-'5.Closing Stock &amp; W Capital'!$D$16))+(E168*'5.Closing Stock &amp; W Capital'!$D$16))*$C227*H$172</f>
        <v>0.0</v>
      </c>
      <c r="I227" s="441">
        <f>((G168*(1-'5.Closing Stock &amp; W Capital'!$D$16))+(F168*'5.Closing Stock &amp; W Capital'!$D$16))*$C227*I$172</f>
        <v>0.0</v>
      </c>
      <c r="J227" s="441">
        <f>((H168*(1-'5.Closing Stock &amp; W Capital'!$D$16))+(G168*'5.Closing Stock &amp; W Capital'!$D$16))*$C227*J$172</f>
        <v>0.0</v>
      </c>
      <c r="K227" s="115"/>
      <c r="L227" s="115"/>
    </row>
    <row r="228" spans="8:8">
      <c r="A228" s="123"/>
      <c r="B228" s="123"/>
      <c r="C228" s="123"/>
      <c r="D228" s="120"/>
      <c r="E228" s="120"/>
      <c r="F228" s="120"/>
      <c r="G228" s="120"/>
      <c r="H228" s="120"/>
      <c r="I228" s="120"/>
      <c r="J228" s="120"/>
      <c r="K228" s="115"/>
      <c r="L228" s="115"/>
    </row>
    <row r="229" spans="8:8">
      <c r="A229" s="123" t="s">
        <v>144</v>
      </c>
      <c r="B229" s="123"/>
      <c r="C229" s="123"/>
      <c r="D229" s="443">
        <f t="shared" si="37" ref="D229:J229">SUM(D178:D228)</f>
        <v>9.8416687528125E7</v>
      </c>
      <c r="E229" s="443">
        <f t="shared" si="37"/>
        <v>1.2025828572515625E8</v>
      </c>
      <c r="F229" s="443">
        <f t="shared" si="37"/>
        <v>1.3896177287688282E8</v>
      </c>
      <c r="G229" s="443">
        <f t="shared" si="37"/>
        <v>1.5923496302946916E8</v>
      </c>
      <c r="H229" s="443">
        <f t="shared" si="37"/>
        <v>1.8118806776512188E8</v>
      </c>
      <c r="I229" s="443">
        <f t="shared" si="37"/>
        <v>2.0493839556676626E8</v>
      </c>
      <c r="J229" s="443">
        <f t="shared" si="37"/>
        <v>2.3061078597916222E8</v>
      </c>
      <c r="K229" s="115"/>
      <c r="L229" s="115"/>
    </row>
    <row r="230" spans="8:8">
      <c r="A230" s="120"/>
      <c r="B230" s="120"/>
      <c r="C230" s="120"/>
      <c r="D230" s="120"/>
      <c r="E230" s="120"/>
      <c r="F230" s="120"/>
      <c r="G230" s="120"/>
      <c r="H230" s="120"/>
      <c r="I230" s="120"/>
      <c r="J230" s="120"/>
      <c r="K230" s="115"/>
      <c r="L230" s="115"/>
    </row>
    <row r="231" spans="8:8">
      <c r="A231" s="123" t="s">
        <v>143</v>
      </c>
      <c r="B231" s="123"/>
      <c r="C231" s="123"/>
      <c r="D231" s="120"/>
      <c r="E231" s="120"/>
      <c r="F231" s="120"/>
      <c r="G231" s="120"/>
      <c r="H231" s="120"/>
      <c r="I231" s="120"/>
      <c r="J231" s="120"/>
      <c r="K231" s="115"/>
      <c r="L231" s="115"/>
    </row>
    <row r="232" spans="8:8">
      <c r="A232" s="123" t="s">
        <v>314</v>
      </c>
      <c r="B232" s="123"/>
      <c r="C232" s="120"/>
      <c r="D232" s="120"/>
      <c r="E232" s="120"/>
      <c r="F232" s="120"/>
      <c r="G232" s="120"/>
      <c r="H232" s="120"/>
      <c r="I232" s="120"/>
      <c r="J232" s="120"/>
      <c r="K232" s="115"/>
      <c r="L232" s="115"/>
    </row>
    <row r="233" spans="8:8">
      <c r="A233" s="120" t="str">
        <f t="shared" si="38" ref="A233:A254">A178</f>
        <v>Soybean</v>
      </c>
      <c r="B233" s="120" t="s">
        <v>367</v>
      </c>
      <c r="C233" s="121">
        <v>7000.0</v>
      </c>
      <c r="D233" s="122">
        <f>B68*$C$233*D$172</f>
        <v>5.33547E7</v>
      </c>
      <c r="E233" s="122">
        <f>C68*$C$233*E$172</f>
        <v>6.224715E7</v>
      </c>
      <c r="F233" s="122">
        <f>D68*$C$233*F172</f>
        <v>7.189545825000001E7</v>
      </c>
      <c r="G233" s="122">
        <f>E68*$C$233*G172</f>
        <v>8.235297945000003E7</v>
      </c>
      <c r="H233" s="122">
        <f>F68*$C$233*H172</f>
        <v>9.3676514124375E7</v>
      </c>
      <c r="I233" s="122">
        <f>G68*$C$233*I172</f>
        <v>1.0592651981756249E8</v>
      </c>
      <c r="J233" s="122">
        <f>H68*$C$233*J172</f>
        <v>1.1916733479475781E8</v>
      </c>
      <c r="K233" s="115"/>
      <c r="L233" s="115"/>
    </row>
    <row r="234" spans="8:8">
      <c r="A234" s="120" t="str">
        <f t="shared" si="38"/>
        <v>Red Gram/Tur</v>
      </c>
      <c r="B234" s="120" t="s">
        <v>367</v>
      </c>
      <c r="C234" s="121">
        <v>5800.0</v>
      </c>
      <c r="D234" s="122">
        <f>B69*$C$234*D$172</f>
        <v>0.0</v>
      </c>
      <c r="E234" s="122">
        <f t="shared" si="39" ref="E234:J234">C69*$C$234*E172</f>
        <v>0.0</v>
      </c>
      <c r="F234" s="122">
        <f t="shared" si="39"/>
        <v>0.0</v>
      </c>
      <c r="G234" s="122">
        <f t="shared" si="39"/>
        <v>0.0</v>
      </c>
      <c r="H234" s="122">
        <f t="shared" si="39"/>
        <v>0.0</v>
      </c>
      <c r="I234" s="122">
        <f t="shared" si="39"/>
        <v>0.0</v>
      </c>
      <c r="J234" s="122">
        <f t="shared" si="39"/>
        <v>0.0</v>
      </c>
      <c r="K234" s="115"/>
      <c r="L234" s="115"/>
    </row>
    <row r="235" spans="8:8">
      <c r="A235" s="120" t="str">
        <f t="shared" si="38"/>
        <v>Paddy/Rice</v>
      </c>
      <c r="B235" s="120" t="s">
        <v>367</v>
      </c>
      <c r="C235" s="121"/>
      <c r="D235" s="122">
        <f>B70*$C$235*D$172</f>
        <v>0.0</v>
      </c>
      <c r="E235" s="122">
        <f t="shared" si="40" ref="E235:J235">C70*$C$235*E172</f>
        <v>0.0</v>
      </c>
      <c r="F235" s="122">
        <f t="shared" si="40"/>
        <v>0.0</v>
      </c>
      <c r="G235" s="122">
        <f t="shared" si="40"/>
        <v>0.0</v>
      </c>
      <c r="H235" s="122">
        <f t="shared" si="40"/>
        <v>0.0</v>
      </c>
      <c r="I235" s="122">
        <f t="shared" si="40"/>
        <v>0.0</v>
      </c>
      <c r="J235" s="122">
        <f t="shared" si="40"/>
        <v>0.0</v>
      </c>
      <c r="K235" s="115"/>
      <c r="L235" s="115"/>
    </row>
    <row r="236" spans="8:8">
      <c r="A236" s="120" t="str">
        <f t="shared" si="38"/>
        <v>Green Gram/ Moong</v>
      </c>
      <c r="B236" s="120" t="s">
        <v>367</v>
      </c>
      <c r="C236" s="121">
        <v>5800.0</v>
      </c>
      <c r="D236" s="122">
        <f t="shared" si="41" ref="D236:J236">B71*$C$236*D$172</f>
        <v>0.0</v>
      </c>
      <c r="E236" s="122">
        <f t="shared" si="41"/>
        <v>0.0</v>
      </c>
      <c r="F236" s="122">
        <f t="shared" si="41"/>
        <v>0.0</v>
      </c>
      <c r="G236" s="122">
        <f t="shared" si="41"/>
        <v>0.0</v>
      </c>
      <c r="H236" s="122">
        <f t="shared" si="41"/>
        <v>0.0</v>
      </c>
      <c r="I236" s="122">
        <f t="shared" si="41"/>
        <v>0.0</v>
      </c>
      <c r="J236" s="122">
        <f t="shared" si="41"/>
        <v>0.0</v>
      </c>
      <c r="K236" s="115"/>
      <c r="L236" s="115"/>
    </row>
    <row r="237" spans="8:8">
      <c r="A237" s="120" t="str">
        <f t="shared" si="38"/>
        <v>Maize</v>
      </c>
      <c r="B237" s="120" t="s">
        <v>367</v>
      </c>
      <c r="C237" s="121"/>
      <c r="D237" s="122">
        <f t="shared" si="42" ref="D237:J237">B72*$C$237*D$172</f>
        <v>0.0</v>
      </c>
      <c r="E237" s="122">
        <f t="shared" si="42"/>
        <v>0.0</v>
      </c>
      <c r="F237" s="122">
        <f t="shared" si="42"/>
        <v>0.0</v>
      </c>
      <c r="G237" s="122">
        <f t="shared" si="42"/>
        <v>0.0</v>
      </c>
      <c r="H237" s="122">
        <f t="shared" si="42"/>
        <v>0.0</v>
      </c>
      <c r="I237" s="122">
        <f t="shared" si="42"/>
        <v>0.0</v>
      </c>
      <c r="J237" s="122">
        <f t="shared" si="42"/>
        <v>0.0</v>
      </c>
      <c r="K237" s="115"/>
      <c r="L237" s="115"/>
    </row>
    <row r="238" spans="8:8">
      <c r="A238" s="120" t="str">
        <f t="shared" si="38"/>
        <v>Black Gram/Udid</v>
      </c>
      <c r="B238" s="120" t="s">
        <v>367</v>
      </c>
      <c r="C238" s="121">
        <v>6300.0</v>
      </c>
      <c r="D238" s="122">
        <f t="shared" si="43" ref="D238:J238">B73*$C$238*D$172</f>
        <v>0.0</v>
      </c>
      <c r="E238" s="122">
        <f t="shared" si="43"/>
        <v>0.0</v>
      </c>
      <c r="F238" s="122">
        <f t="shared" si="43"/>
        <v>0.0</v>
      </c>
      <c r="G238" s="122">
        <f t="shared" si="43"/>
        <v>0.0</v>
      </c>
      <c r="H238" s="122">
        <f t="shared" si="43"/>
        <v>0.0</v>
      </c>
      <c r="I238" s="122">
        <f t="shared" si="43"/>
        <v>0.0</v>
      </c>
      <c r="J238" s="122">
        <f t="shared" si="43"/>
        <v>0.0</v>
      </c>
      <c r="K238" s="115"/>
      <c r="L238" s="115"/>
    </row>
    <row r="239" spans="8:8">
      <c r="A239" s="120" t="str">
        <f t="shared" si="38"/>
        <v>Bajra</v>
      </c>
      <c r="B239" s="120" t="s">
        <v>367</v>
      </c>
      <c r="C239" s="121">
        <v>1800.0</v>
      </c>
      <c r="D239" s="122">
        <f t="shared" si="44" ref="D239:J239">B74*$C$239*D$172</f>
        <v>0.0</v>
      </c>
      <c r="E239" s="122">
        <f t="shared" si="44"/>
        <v>0.0</v>
      </c>
      <c r="F239" s="122">
        <f t="shared" si="44"/>
        <v>0.0</v>
      </c>
      <c r="G239" s="122">
        <f t="shared" si="44"/>
        <v>0.0</v>
      </c>
      <c r="H239" s="122">
        <f t="shared" si="44"/>
        <v>0.0</v>
      </c>
      <c r="I239" s="122">
        <f t="shared" si="44"/>
        <v>0.0</v>
      </c>
      <c r="J239" s="122">
        <f t="shared" si="44"/>
        <v>0.0</v>
      </c>
      <c r="K239" s="115"/>
      <c r="L239" s="115"/>
    </row>
    <row r="240" spans="8:8">
      <c r="A240" s="120" t="str">
        <f t="shared" si="38"/>
        <v>Jawar</v>
      </c>
      <c r="B240" s="120" t="s">
        <v>367</v>
      </c>
      <c r="C240" s="121"/>
      <c r="D240" s="122">
        <f t="shared" si="45" ref="D240:J240">B75*$C$240*D$172</f>
        <v>0.0</v>
      </c>
      <c r="E240" s="122">
        <f t="shared" si="45"/>
        <v>0.0</v>
      </c>
      <c r="F240" s="122">
        <f t="shared" si="45"/>
        <v>0.0</v>
      </c>
      <c r="G240" s="122">
        <f t="shared" si="45"/>
        <v>0.0</v>
      </c>
      <c r="H240" s="122">
        <f t="shared" si="45"/>
        <v>0.0</v>
      </c>
      <c r="I240" s="122">
        <f t="shared" si="45"/>
        <v>0.0</v>
      </c>
      <c r="J240" s="122">
        <f t="shared" si="45"/>
        <v>0.0</v>
      </c>
      <c r="K240" s="115"/>
      <c r="L240" s="115"/>
    </row>
    <row r="241" spans="8:8">
      <c r="A241" s="120" t="str">
        <f t="shared" si="38"/>
        <v>Sunflower</v>
      </c>
      <c r="B241" s="120" t="s">
        <v>367</v>
      </c>
      <c r="C241" s="121"/>
      <c r="D241" s="122">
        <f t="shared" si="46" ref="D241:J241">B76*$C$241*D$172</f>
        <v>0.0</v>
      </c>
      <c r="E241" s="122">
        <f t="shared" si="46"/>
        <v>0.0</v>
      </c>
      <c r="F241" s="122">
        <f t="shared" si="46"/>
        <v>0.0</v>
      </c>
      <c r="G241" s="122">
        <f t="shared" si="46"/>
        <v>0.0</v>
      </c>
      <c r="H241" s="122">
        <f t="shared" si="46"/>
        <v>0.0</v>
      </c>
      <c r="I241" s="122">
        <f t="shared" si="46"/>
        <v>0.0</v>
      </c>
      <c r="J241" s="122">
        <f t="shared" si="46"/>
        <v>0.0</v>
      </c>
      <c r="K241" s="115"/>
      <c r="L241" s="115"/>
    </row>
    <row r="242" spans="8:8">
      <c r="A242" s="120" t="str">
        <f t="shared" si="38"/>
        <v>Wheat</v>
      </c>
      <c r="B242" s="120" t="s">
        <v>367</v>
      </c>
      <c r="C242" s="121"/>
      <c r="D242" s="122">
        <f t="shared" si="47" ref="D242:J242">B77*$C$242*D$172</f>
        <v>0.0</v>
      </c>
      <c r="E242" s="122">
        <f t="shared" si="47"/>
        <v>0.0</v>
      </c>
      <c r="F242" s="122">
        <f t="shared" si="47"/>
        <v>0.0</v>
      </c>
      <c r="G242" s="122">
        <f t="shared" si="47"/>
        <v>0.0</v>
      </c>
      <c r="H242" s="122">
        <f t="shared" si="47"/>
        <v>0.0</v>
      </c>
      <c r="I242" s="122">
        <f t="shared" si="47"/>
        <v>0.0</v>
      </c>
      <c r="J242" s="122">
        <f t="shared" si="47"/>
        <v>0.0</v>
      </c>
      <c r="K242" s="115"/>
      <c r="L242" s="115"/>
    </row>
    <row r="243" spans="8:8">
      <c r="A243" s="120" t="str">
        <f t="shared" si="38"/>
        <v>Bengal Gram/Channa</v>
      </c>
      <c r="B243" s="120" t="s">
        <v>367</v>
      </c>
      <c r="C243" s="121">
        <v>5600.0</v>
      </c>
      <c r="D243" s="122">
        <f t="shared" si="48" ref="D243:J243">B78*$C$243*D$172</f>
        <v>3.201282E7</v>
      </c>
      <c r="E243" s="122">
        <f t="shared" si="48"/>
        <v>3.734829E7</v>
      </c>
      <c r="F243" s="122">
        <f t="shared" si="48"/>
        <v>4.313727495E7</v>
      </c>
      <c r="G243" s="122">
        <f t="shared" si="48"/>
        <v>4.941178767000002E7</v>
      </c>
      <c r="H243" s="122">
        <f t="shared" si="48"/>
        <v>5.6205908474625E7</v>
      </c>
      <c r="I243" s="122">
        <f t="shared" si="48"/>
        <v>6.3555911890537485E7</v>
      </c>
      <c r="J243" s="122">
        <f t="shared" si="48"/>
        <v>7.150040087685466E7</v>
      </c>
      <c r="K243" s="115"/>
      <c r="L243" s="115"/>
    </row>
    <row r="244" spans="8:8">
      <c r="A244" s="120" t="str">
        <f t="shared" si="38"/>
        <v>Jawar</v>
      </c>
      <c r="B244" s="120" t="s">
        <v>367</v>
      </c>
      <c r="C244" s="121">
        <v>2500.0</v>
      </c>
      <c r="D244" s="122">
        <f t="shared" si="49" ref="D244:J244">B79*$C$244*D$172</f>
        <v>7410375.0</v>
      </c>
      <c r="E244" s="122">
        <f t="shared" si="49"/>
        <v>8645437.5</v>
      </c>
      <c r="F244" s="122">
        <f t="shared" si="49"/>
        <v>9985480.3125</v>
      </c>
      <c r="G244" s="122">
        <f t="shared" si="49"/>
        <v>1.1437913812500004E7</v>
      </c>
      <c r="H244" s="122">
        <f t="shared" si="49"/>
        <v>1.301062696171875E7</v>
      </c>
      <c r="I244" s="122">
        <f t="shared" si="49"/>
        <v>1.4712016641328126E7</v>
      </c>
      <c r="J244" s="122">
        <f t="shared" si="49"/>
        <v>1.655101872149414E7</v>
      </c>
      <c r="K244" s="115"/>
      <c r="L244" s="115"/>
    </row>
    <row r="245" spans="8:8">
      <c r="A245" s="120" t="str">
        <f t="shared" si="38"/>
        <v>Maize</v>
      </c>
      <c r="B245" s="120" t="s">
        <v>367</v>
      </c>
      <c r="C245" s="121"/>
      <c r="D245" s="122">
        <f t="shared" si="50" ref="D245:J245">B80*$C$245*D$172</f>
        <v>0.0</v>
      </c>
      <c r="E245" s="122">
        <f t="shared" si="50"/>
        <v>0.0</v>
      </c>
      <c r="F245" s="122">
        <f t="shared" si="50"/>
        <v>0.0</v>
      </c>
      <c r="G245" s="122">
        <f t="shared" si="50"/>
        <v>0.0</v>
      </c>
      <c r="H245" s="122">
        <f t="shared" si="50"/>
        <v>0.0</v>
      </c>
      <c r="I245" s="122">
        <f t="shared" si="50"/>
        <v>0.0</v>
      </c>
      <c r="J245" s="122">
        <f t="shared" si="50"/>
        <v>0.0</v>
      </c>
      <c r="K245" s="115"/>
      <c r="L245" s="115"/>
    </row>
    <row r="246" spans="8:8">
      <c r="A246" s="120" t="str">
        <f t="shared" si="38"/>
        <v>Safflower</v>
      </c>
      <c r="B246" s="120" t="s">
        <v>367</v>
      </c>
      <c r="C246" s="121"/>
      <c r="D246" s="122">
        <f t="shared" si="51" ref="D246:J246">B81*$C$246*D$172</f>
        <v>0.0</v>
      </c>
      <c r="E246" s="122">
        <f t="shared" si="51"/>
        <v>0.0</v>
      </c>
      <c r="F246" s="122">
        <f t="shared" si="51"/>
        <v>0.0</v>
      </c>
      <c r="G246" s="122">
        <f t="shared" si="51"/>
        <v>0.0</v>
      </c>
      <c r="H246" s="122">
        <f t="shared" si="51"/>
        <v>0.0</v>
      </c>
      <c r="I246" s="122">
        <f t="shared" si="51"/>
        <v>0.0</v>
      </c>
      <c r="J246" s="122">
        <f t="shared" si="51"/>
        <v>0.0</v>
      </c>
      <c r="K246" s="115"/>
      <c r="L246" s="115"/>
    </row>
    <row r="247" spans="8:8">
      <c r="A247" s="120">
        <f t="shared" si="38"/>
        <v>0.0</v>
      </c>
      <c r="B247" s="120" t="s">
        <v>367</v>
      </c>
      <c r="C247" s="121"/>
      <c r="D247" s="122">
        <f t="shared" si="52" ref="D247:J247">B82*$C$247*D$172</f>
        <v>0.0</v>
      </c>
      <c r="E247" s="122">
        <f t="shared" si="52"/>
        <v>0.0</v>
      </c>
      <c r="F247" s="122">
        <f t="shared" si="52"/>
        <v>0.0</v>
      </c>
      <c r="G247" s="122">
        <f t="shared" si="52"/>
        <v>0.0</v>
      </c>
      <c r="H247" s="122">
        <f t="shared" si="52"/>
        <v>0.0</v>
      </c>
      <c r="I247" s="122">
        <f t="shared" si="52"/>
        <v>0.0</v>
      </c>
      <c r="J247" s="122">
        <f t="shared" si="52"/>
        <v>0.0</v>
      </c>
      <c r="K247" s="115"/>
      <c r="L247" s="115"/>
    </row>
    <row r="248" spans="8:8">
      <c r="A248" s="120">
        <f t="shared" si="38"/>
        <v>0.0</v>
      </c>
      <c r="B248" s="120" t="s">
        <v>367</v>
      </c>
      <c r="C248" s="121"/>
      <c r="D248" s="122">
        <f t="shared" si="53" ref="D248:J248">B83*$C$248*D$172</f>
        <v>0.0</v>
      </c>
      <c r="E248" s="122">
        <f t="shared" si="53"/>
        <v>0.0</v>
      </c>
      <c r="F248" s="122">
        <f t="shared" si="53"/>
        <v>0.0</v>
      </c>
      <c r="G248" s="122">
        <f t="shared" si="53"/>
        <v>0.0</v>
      </c>
      <c r="H248" s="122">
        <f t="shared" si="53"/>
        <v>0.0</v>
      </c>
      <c r="I248" s="122">
        <f t="shared" si="53"/>
        <v>0.0</v>
      </c>
      <c r="J248" s="122">
        <f t="shared" si="53"/>
        <v>0.0</v>
      </c>
      <c r="K248" s="115"/>
      <c r="L248" s="115"/>
    </row>
    <row r="249" spans="8:8">
      <c r="A249" s="120">
        <f t="shared" si="38"/>
        <v>0.0</v>
      </c>
      <c r="B249" s="120" t="s">
        <v>367</v>
      </c>
      <c r="C249" s="121"/>
      <c r="D249" s="122">
        <f t="shared" si="54" ref="D249:J255">B84*$C249*D$172</f>
        <v>0.0</v>
      </c>
      <c r="E249" s="122">
        <f t="shared" si="54"/>
        <v>0.0</v>
      </c>
      <c r="F249" s="122">
        <f t="shared" si="54"/>
        <v>0.0</v>
      </c>
      <c r="G249" s="122">
        <f t="shared" si="54"/>
        <v>0.0</v>
      </c>
      <c r="H249" s="122">
        <f t="shared" si="54"/>
        <v>0.0</v>
      </c>
      <c r="I249" s="122">
        <f t="shared" si="54"/>
        <v>0.0</v>
      </c>
      <c r="J249" s="122">
        <f t="shared" si="54"/>
        <v>0.0</v>
      </c>
      <c r="K249" s="115"/>
      <c r="L249" s="115"/>
    </row>
    <row r="250" spans="8:8">
      <c r="A250" s="120" t="str">
        <f t="shared" si="38"/>
        <v>Groundnut</v>
      </c>
      <c r="B250" s="120" t="s">
        <v>367</v>
      </c>
      <c r="C250" s="121"/>
      <c r="D250" s="122">
        <f t="shared" si="54"/>
        <v>0.0</v>
      </c>
      <c r="E250" s="122">
        <f t="shared" si="54"/>
        <v>0.0</v>
      </c>
      <c r="F250" s="122">
        <f t="shared" si="54"/>
        <v>0.0</v>
      </c>
      <c r="G250" s="122">
        <f t="shared" si="54"/>
        <v>0.0</v>
      </c>
      <c r="H250" s="122">
        <f t="shared" si="54"/>
        <v>0.0</v>
      </c>
      <c r="I250" s="122">
        <f t="shared" si="54"/>
        <v>0.0</v>
      </c>
      <c r="J250" s="122">
        <f t="shared" si="54"/>
        <v>0.0</v>
      </c>
      <c r="K250" s="115"/>
      <c r="L250" s="115"/>
    </row>
    <row r="251" spans="8:8">
      <c r="A251" s="120">
        <f t="shared" si="38"/>
        <v>0.0</v>
      </c>
      <c r="B251" s="120" t="s">
        <v>367</v>
      </c>
      <c r="C251" s="121"/>
      <c r="D251" s="122">
        <f t="shared" si="54"/>
        <v>0.0</v>
      </c>
      <c r="E251" s="122">
        <f t="shared" si="54"/>
        <v>0.0</v>
      </c>
      <c r="F251" s="122">
        <f t="shared" si="54"/>
        <v>0.0</v>
      </c>
      <c r="G251" s="122">
        <f t="shared" si="54"/>
        <v>0.0</v>
      </c>
      <c r="H251" s="122">
        <f t="shared" si="54"/>
        <v>0.0</v>
      </c>
      <c r="I251" s="122">
        <f t="shared" si="54"/>
        <v>0.0</v>
      </c>
      <c r="J251" s="122">
        <f t="shared" si="54"/>
        <v>0.0</v>
      </c>
      <c r="K251" s="115"/>
      <c r="L251" s="115"/>
    </row>
    <row r="252" spans="8:8">
      <c r="A252" s="120">
        <f t="shared" si="38"/>
        <v>0.0</v>
      </c>
      <c r="B252" s="120" t="s">
        <v>367</v>
      </c>
      <c r="C252" s="121"/>
      <c r="D252" s="122">
        <f t="shared" si="54"/>
        <v>0.0</v>
      </c>
      <c r="E252" s="122">
        <f t="shared" si="54"/>
        <v>0.0</v>
      </c>
      <c r="F252" s="122">
        <f t="shared" si="54"/>
        <v>0.0</v>
      </c>
      <c r="G252" s="122">
        <f t="shared" si="54"/>
        <v>0.0</v>
      </c>
      <c r="H252" s="122">
        <f t="shared" si="54"/>
        <v>0.0</v>
      </c>
      <c r="I252" s="122">
        <f t="shared" si="54"/>
        <v>0.0</v>
      </c>
      <c r="J252" s="122">
        <f t="shared" si="54"/>
        <v>0.0</v>
      </c>
      <c r="K252" s="115"/>
      <c r="L252" s="115"/>
    </row>
    <row r="253" spans="8:8">
      <c r="A253" s="120">
        <f t="shared" si="38"/>
        <v>0.0</v>
      </c>
      <c r="B253" s="120" t="s">
        <v>367</v>
      </c>
      <c r="C253" s="121"/>
      <c r="D253" s="122">
        <f t="shared" si="54"/>
        <v>0.0</v>
      </c>
      <c r="E253" s="122">
        <f t="shared" si="54"/>
        <v>0.0</v>
      </c>
      <c r="F253" s="122">
        <f t="shared" si="54"/>
        <v>0.0</v>
      </c>
      <c r="G253" s="122">
        <f t="shared" si="54"/>
        <v>0.0</v>
      </c>
      <c r="H253" s="122">
        <f t="shared" si="54"/>
        <v>0.0</v>
      </c>
      <c r="I253" s="122">
        <f t="shared" si="54"/>
        <v>0.0</v>
      </c>
      <c r="J253" s="122">
        <f t="shared" si="54"/>
        <v>0.0</v>
      </c>
      <c r="K253" s="115"/>
      <c r="L253" s="115"/>
    </row>
    <row r="254" spans="8:8">
      <c r="A254" s="120">
        <f t="shared" si="38"/>
        <v>0.0</v>
      </c>
      <c r="B254" s="120" t="s">
        <v>367</v>
      </c>
      <c r="C254" s="121"/>
      <c r="D254" s="122">
        <f t="shared" si="54"/>
        <v>0.0</v>
      </c>
      <c r="E254" s="122">
        <f t="shared" si="54"/>
        <v>0.0</v>
      </c>
      <c r="F254" s="122">
        <f t="shared" si="54"/>
        <v>0.0</v>
      </c>
      <c r="G254" s="122">
        <f t="shared" si="54"/>
        <v>0.0</v>
      </c>
      <c r="H254" s="122">
        <f t="shared" si="54"/>
        <v>0.0</v>
      </c>
      <c r="I254" s="122">
        <f t="shared" si="54"/>
        <v>0.0</v>
      </c>
      <c r="J254" s="122">
        <f t="shared" si="54"/>
        <v>0.0</v>
      </c>
      <c r="K254" s="115"/>
      <c r="L254" s="115"/>
    </row>
    <row r="255" spans="8:8">
      <c r="A255" s="120">
        <f t="shared" si="55" ref="A255:A274">A201</f>
        <v>0.0</v>
      </c>
      <c r="B255" s="120"/>
      <c r="C255" s="121"/>
      <c r="D255" s="122">
        <f t="shared" si="54"/>
        <v>0.0</v>
      </c>
      <c r="E255" s="122">
        <f t="shared" si="54"/>
        <v>0.0</v>
      </c>
      <c r="F255" s="122">
        <f t="shared" si="54"/>
        <v>0.0</v>
      </c>
      <c r="G255" s="122">
        <f t="shared" si="54"/>
        <v>0.0</v>
      </c>
      <c r="H255" s="122">
        <f t="shared" si="54"/>
        <v>0.0</v>
      </c>
      <c r="I255" s="122">
        <f t="shared" si="54"/>
        <v>0.0</v>
      </c>
      <c r="J255" s="122">
        <f t="shared" si="54"/>
        <v>0.0</v>
      </c>
      <c r="K255" s="115"/>
      <c r="L255" s="115"/>
    </row>
    <row r="256" spans="8:8">
      <c r="A256" s="123" t="str">
        <f t="shared" si="55"/>
        <v>Fruit  &amp; Vegetables Crop Production Details</v>
      </c>
      <c r="B256" s="120"/>
      <c r="C256" s="121"/>
      <c r="D256" s="122"/>
      <c r="E256" s="122"/>
      <c r="F256" s="122"/>
      <c r="G256" s="122"/>
      <c r="H256" s="122"/>
      <c r="I256" s="122"/>
      <c r="J256" s="122"/>
      <c r="K256" s="115"/>
      <c r="L256" s="115"/>
    </row>
    <row r="257" spans="8:8">
      <c r="A257" s="120" t="str">
        <f t="shared" si="55"/>
        <v>Onion</v>
      </c>
      <c r="B257" s="120" t="s">
        <v>367</v>
      </c>
      <c r="C257" s="121">
        <v>1800.0</v>
      </c>
      <c r="D257" s="122">
        <f t="shared" si="56" ref="D257:D274">B92*$C257*D$172</f>
        <v>0.0</v>
      </c>
      <c r="E257" s="122">
        <f t="shared" si="57" ref="E257:E274">C92*$C257*E$172</f>
        <v>0.0</v>
      </c>
      <c r="F257" s="122">
        <f t="shared" si="58" ref="F257:F273">D92*$C257*F$172</f>
        <v>0.0</v>
      </c>
      <c r="G257" s="122">
        <f t="shared" si="59" ref="G257:G274">E92*$C257*G$172</f>
        <v>0.0</v>
      </c>
      <c r="H257" s="122">
        <f t="shared" si="60" ref="H257:H274">F92*$C257*H$172</f>
        <v>0.0</v>
      </c>
      <c r="I257" s="122">
        <f t="shared" si="61" ref="I257:I274">G92*$C257*I$172</f>
        <v>0.0</v>
      </c>
      <c r="J257" s="122">
        <f t="shared" si="62" ref="J257:J274">H92*$C257*J$172</f>
        <v>0.0</v>
      </c>
      <c r="K257" s="115"/>
      <c r="L257" s="115"/>
    </row>
    <row r="258" spans="8:8">
      <c r="A258" s="120" t="str">
        <f t="shared" si="55"/>
        <v>Tomato</v>
      </c>
      <c r="B258" s="120" t="s">
        <v>367</v>
      </c>
      <c r="C258" s="121">
        <v>800.0</v>
      </c>
      <c r="D258" s="122">
        <f t="shared" si="56"/>
        <v>0.0</v>
      </c>
      <c r="E258" s="122">
        <f t="shared" si="57"/>
        <v>0.0</v>
      </c>
      <c r="F258" s="122">
        <f t="shared" si="58"/>
        <v>0.0</v>
      </c>
      <c r="G258" s="122">
        <f t="shared" si="59"/>
        <v>0.0</v>
      </c>
      <c r="H258" s="122">
        <f t="shared" si="60"/>
        <v>0.0</v>
      </c>
      <c r="I258" s="122">
        <f t="shared" si="61"/>
        <v>0.0</v>
      </c>
      <c r="J258" s="122">
        <f t="shared" si="62"/>
        <v>0.0</v>
      </c>
      <c r="K258" s="115"/>
      <c r="L258" s="115"/>
    </row>
    <row r="259" spans="8:8">
      <c r="A259" s="120" t="str">
        <f t="shared" si="55"/>
        <v>Okra</v>
      </c>
      <c r="B259" s="120" t="s">
        <v>367</v>
      </c>
      <c r="C259" s="121">
        <v>1300.0</v>
      </c>
      <c r="D259" s="122">
        <f t="shared" si="56"/>
        <v>0.0</v>
      </c>
      <c r="E259" s="122">
        <f t="shared" si="57"/>
        <v>0.0</v>
      </c>
      <c r="F259" s="122">
        <f t="shared" si="58"/>
        <v>0.0</v>
      </c>
      <c r="G259" s="122">
        <f t="shared" si="59"/>
        <v>0.0</v>
      </c>
      <c r="H259" s="122">
        <f t="shared" si="60"/>
        <v>0.0</v>
      </c>
      <c r="I259" s="122">
        <f t="shared" si="61"/>
        <v>0.0</v>
      </c>
      <c r="J259" s="122">
        <f t="shared" si="62"/>
        <v>0.0</v>
      </c>
      <c r="K259" s="115"/>
      <c r="L259" s="115"/>
    </row>
    <row r="260" spans="8:8">
      <c r="A260" s="120" t="str">
        <f t="shared" si="55"/>
        <v>Chilli</v>
      </c>
      <c r="B260" s="120" t="s">
        <v>367</v>
      </c>
      <c r="C260" s="121">
        <v>2800.0</v>
      </c>
      <c r="D260" s="122">
        <f t="shared" si="56"/>
        <v>0.0</v>
      </c>
      <c r="E260" s="122">
        <f t="shared" si="57"/>
        <v>0.0</v>
      </c>
      <c r="F260" s="122">
        <f t="shared" si="58"/>
        <v>0.0</v>
      </c>
      <c r="G260" s="122">
        <f t="shared" si="59"/>
        <v>0.0</v>
      </c>
      <c r="H260" s="122">
        <f t="shared" si="60"/>
        <v>0.0</v>
      </c>
      <c r="I260" s="122">
        <f t="shared" si="61"/>
        <v>0.0</v>
      </c>
      <c r="J260" s="122">
        <f t="shared" si="62"/>
        <v>0.0</v>
      </c>
      <c r="K260" s="115"/>
      <c r="L260" s="115"/>
    </row>
    <row r="261" spans="8:8">
      <c r="A261" s="120" t="str">
        <f t="shared" si="55"/>
        <v>Potato</v>
      </c>
      <c r="B261" s="120" t="s">
        <v>367</v>
      </c>
      <c r="C261" s="121">
        <v>1300.0</v>
      </c>
      <c r="D261" s="122">
        <f t="shared" si="56"/>
        <v>0.0</v>
      </c>
      <c r="E261" s="122">
        <f t="shared" si="57"/>
        <v>0.0</v>
      </c>
      <c r="F261" s="122">
        <f t="shared" si="58"/>
        <v>0.0</v>
      </c>
      <c r="G261" s="122">
        <f t="shared" si="59"/>
        <v>0.0</v>
      </c>
      <c r="H261" s="122">
        <f t="shared" si="60"/>
        <v>0.0</v>
      </c>
      <c r="I261" s="122">
        <f t="shared" si="61"/>
        <v>0.0</v>
      </c>
      <c r="J261" s="122">
        <f t="shared" si="62"/>
        <v>0.0</v>
      </c>
      <c r="K261" s="115"/>
      <c r="L261" s="115"/>
    </row>
    <row r="262" spans="8:8">
      <c r="A262" s="120">
        <f t="shared" si="55"/>
        <v>0.0</v>
      </c>
      <c r="B262" s="120" t="s">
        <v>367</v>
      </c>
      <c r="C262" s="121"/>
      <c r="D262" s="122">
        <f t="shared" si="56"/>
        <v>0.0</v>
      </c>
      <c r="E262" s="122">
        <f t="shared" si="57"/>
        <v>0.0</v>
      </c>
      <c r="F262" s="122">
        <f t="shared" si="58"/>
        <v>0.0</v>
      </c>
      <c r="G262" s="122">
        <f t="shared" si="59"/>
        <v>0.0</v>
      </c>
      <c r="H262" s="122">
        <f t="shared" si="60"/>
        <v>0.0</v>
      </c>
      <c r="I262" s="122">
        <f t="shared" si="61"/>
        <v>0.0</v>
      </c>
      <c r="J262" s="122">
        <f t="shared" si="62"/>
        <v>0.0</v>
      </c>
      <c r="K262" s="115"/>
      <c r="L262" s="115"/>
    </row>
    <row r="263" spans="8:8">
      <c r="A263" s="120">
        <f t="shared" si="55"/>
        <v>0.0</v>
      </c>
      <c r="B263" s="120" t="s">
        <v>367</v>
      </c>
      <c r="C263" s="121"/>
      <c r="D263" s="122">
        <f t="shared" si="56"/>
        <v>0.0</v>
      </c>
      <c r="E263" s="122">
        <f t="shared" si="57"/>
        <v>0.0</v>
      </c>
      <c r="F263" s="122">
        <f t="shared" si="58"/>
        <v>0.0</v>
      </c>
      <c r="G263" s="122">
        <f t="shared" si="59"/>
        <v>0.0</v>
      </c>
      <c r="H263" s="122">
        <f t="shared" si="60"/>
        <v>0.0</v>
      </c>
      <c r="I263" s="122">
        <f t="shared" si="61"/>
        <v>0.0</v>
      </c>
      <c r="J263" s="122">
        <f t="shared" si="62"/>
        <v>0.0</v>
      </c>
      <c r="K263" s="115"/>
      <c r="L263" s="115"/>
    </row>
    <row r="264" spans="8:8">
      <c r="A264" s="120">
        <f t="shared" si="55"/>
        <v>0.0</v>
      </c>
      <c r="B264" s="120" t="s">
        <v>367</v>
      </c>
      <c r="C264" s="121"/>
      <c r="D264" s="122">
        <f t="shared" si="56"/>
        <v>0.0</v>
      </c>
      <c r="E264" s="122">
        <f t="shared" si="57"/>
        <v>0.0</v>
      </c>
      <c r="F264" s="122">
        <f t="shared" si="58"/>
        <v>0.0</v>
      </c>
      <c r="G264" s="122">
        <f t="shared" si="59"/>
        <v>0.0</v>
      </c>
      <c r="H264" s="122">
        <f t="shared" si="60"/>
        <v>0.0</v>
      </c>
      <c r="I264" s="122">
        <f t="shared" si="61"/>
        <v>0.0</v>
      </c>
      <c r="J264" s="122">
        <f t="shared" si="62"/>
        <v>0.0</v>
      </c>
      <c r="K264" s="115"/>
      <c r="L264" s="115"/>
    </row>
    <row r="265" spans="8:8">
      <c r="A265" s="120">
        <f t="shared" si="55"/>
        <v>0.0</v>
      </c>
      <c r="B265" s="120" t="s">
        <v>367</v>
      </c>
      <c r="C265" s="121"/>
      <c r="D265" s="122">
        <f t="shared" si="56"/>
        <v>0.0</v>
      </c>
      <c r="E265" s="122">
        <f t="shared" si="57"/>
        <v>0.0</v>
      </c>
      <c r="F265" s="122">
        <f t="shared" si="58"/>
        <v>0.0</v>
      </c>
      <c r="G265" s="122">
        <f t="shared" si="59"/>
        <v>0.0</v>
      </c>
      <c r="H265" s="122">
        <f t="shared" si="60"/>
        <v>0.0</v>
      </c>
      <c r="I265" s="122">
        <f t="shared" si="61"/>
        <v>0.0</v>
      </c>
      <c r="J265" s="122">
        <f t="shared" si="62"/>
        <v>0.0</v>
      </c>
      <c r="K265" s="115"/>
      <c r="L265" s="115"/>
    </row>
    <row r="266" spans="8:8">
      <c r="A266" s="120" t="str">
        <f t="shared" si="55"/>
        <v>Onion</v>
      </c>
      <c r="B266" s="120" t="s">
        <v>367</v>
      </c>
      <c r="C266" s="121">
        <v>1800.0</v>
      </c>
      <c r="D266" s="122">
        <f t="shared" si="56"/>
        <v>0.0</v>
      </c>
      <c r="E266" s="122">
        <f t="shared" si="57"/>
        <v>0.0</v>
      </c>
      <c r="F266" s="122">
        <f t="shared" si="58"/>
        <v>0.0</v>
      </c>
      <c r="G266" s="122">
        <f t="shared" si="59"/>
        <v>0.0</v>
      </c>
      <c r="H266" s="122">
        <f t="shared" si="60"/>
        <v>0.0</v>
      </c>
      <c r="I266" s="122">
        <f t="shared" si="61"/>
        <v>0.0</v>
      </c>
      <c r="J266" s="122">
        <f t="shared" si="62"/>
        <v>0.0</v>
      </c>
      <c r="K266" s="115"/>
      <c r="L266" s="115"/>
    </row>
    <row r="267" spans="8:8">
      <c r="A267" s="120" t="str">
        <f t="shared" si="55"/>
        <v>Tomato</v>
      </c>
      <c r="B267" s="120" t="s">
        <v>367</v>
      </c>
      <c r="C267" s="121">
        <v>800.0</v>
      </c>
      <c r="D267" s="122">
        <f t="shared" si="56"/>
        <v>0.0</v>
      </c>
      <c r="E267" s="122">
        <f t="shared" si="57"/>
        <v>0.0</v>
      </c>
      <c r="F267" s="122">
        <f t="shared" si="58"/>
        <v>0.0</v>
      </c>
      <c r="G267" s="122">
        <f t="shared" si="59"/>
        <v>0.0</v>
      </c>
      <c r="H267" s="122">
        <f t="shared" si="60"/>
        <v>0.0</v>
      </c>
      <c r="I267" s="122">
        <f t="shared" si="61"/>
        <v>0.0</v>
      </c>
      <c r="J267" s="122">
        <f t="shared" si="62"/>
        <v>0.0</v>
      </c>
      <c r="K267" s="115"/>
      <c r="L267" s="115"/>
    </row>
    <row r="268" spans="8:8">
      <c r="A268" s="120" t="str">
        <f t="shared" si="55"/>
        <v>Okra</v>
      </c>
      <c r="B268" s="120" t="s">
        <v>367</v>
      </c>
      <c r="C268" s="121">
        <v>1300.0</v>
      </c>
      <c r="D268" s="122">
        <f t="shared" si="56"/>
        <v>0.0</v>
      </c>
      <c r="E268" s="122">
        <f t="shared" si="57"/>
        <v>0.0</v>
      </c>
      <c r="F268" s="122">
        <f t="shared" si="58"/>
        <v>0.0</v>
      </c>
      <c r="G268" s="122">
        <f t="shared" si="59"/>
        <v>0.0</v>
      </c>
      <c r="H268" s="122">
        <f t="shared" si="60"/>
        <v>0.0</v>
      </c>
      <c r="I268" s="122">
        <f t="shared" si="61"/>
        <v>0.0</v>
      </c>
      <c r="J268" s="122">
        <f t="shared" si="62"/>
        <v>0.0</v>
      </c>
      <c r="K268" s="115"/>
      <c r="L268" s="115"/>
    </row>
    <row r="269" spans="8:8">
      <c r="A269" s="120" t="str">
        <f t="shared" si="55"/>
        <v>Chilli</v>
      </c>
      <c r="B269" s="120" t="s">
        <v>367</v>
      </c>
      <c r="C269" s="121">
        <v>2800.0</v>
      </c>
      <c r="D269" s="122">
        <f t="shared" si="56"/>
        <v>0.0</v>
      </c>
      <c r="E269" s="122">
        <f t="shared" si="57"/>
        <v>0.0</v>
      </c>
      <c r="F269" s="122">
        <f t="shared" si="58"/>
        <v>0.0</v>
      </c>
      <c r="G269" s="122">
        <f t="shared" si="59"/>
        <v>0.0</v>
      </c>
      <c r="H269" s="122">
        <f t="shared" si="60"/>
        <v>0.0</v>
      </c>
      <c r="I269" s="122">
        <f t="shared" si="61"/>
        <v>0.0</v>
      </c>
      <c r="J269" s="122">
        <f t="shared" si="62"/>
        <v>0.0</v>
      </c>
      <c r="K269" s="115"/>
      <c r="L269" s="115"/>
    </row>
    <row r="270" spans="8:8">
      <c r="A270" s="120" t="str">
        <f t="shared" si="55"/>
        <v>Brinjal</v>
      </c>
      <c r="B270" s="120" t="s">
        <v>367</v>
      </c>
      <c r="C270" s="121">
        <v>1800.0</v>
      </c>
      <c r="D270" s="122">
        <f t="shared" si="56"/>
        <v>0.0</v>
      </c>
      <c r="E270" s="122">
        <f t="shared" si="57"/>
        <v>0.0</v>
      </c>
      <c r="F270" s="122">
        <f t="shared" si="58"/>
        <v>0.0</v>
      </c>
      <c r="G270" s="122">
        <f t="shared" si="59"/>
        <v>0.0</v>
      </c>
      <c r="H270" s="122">
        <f t="shared" si="60"/>
        <v>0.0</v>
      </c>
      <c r="I270" s="122">
        <f t="shared" si="61"/>
        <v>0.0</v>
      </c>
      <c r="J270" s="122">
        <f t="shared" si="62"/>
        <v>0.0</v>
      </c>
      <c r="K270" s="115"/>
      <c r="L270" s="115"/>
    </row>
    <row r="271" spans="8:8">
      <c r="A271" s="120">
        <f t="shared" si="55"/>
        <v>0.0</v>
      </c>
      <c r="B271" s="120" t="s">
        <v>367</v>
      </c>
      <c r="C271" s="121"/>
      <c r="D271" s="122">
        <f t="shared" si="56"/>
        <v>0.0</v>
      </c>
      <c r="E271" s="122">
        <f t="shared" si="57"/>
        <v>0.0</v>
      </c>
      <c r="F271" s="122">
        <f t="shared" si="58"/>
        <v>0.0</v>
      </c>
      <c r="G271" s="122">
        <f t="shared" si="59"/>
        <v>0.0</v>
      </c>
      <c r="H271" s="122">
        <f t="shared" si="60"/>
        <v>0.0</v>
      </c>
      <c r="I271" s="122">
        <f t="shared" si="61"/>
        <v>0.0</v>
      </c>
      <c r="J271" s="122">
        <f t="shared" si="62"/>
        <v>0.0</v>
      </c>
      <c r="K271" s="115"/>
      <c r="L271" s="115"/>
    </row>
    <row r="272" spans="8:8">
      <c r="A272" s="120">
        <f t="shared" si="55"/>
        <v>0.0</v>
      </c>
      <c r="B272" s="120" t="s">
        <v>367</v>
      </c>
      <c r="C272" s="121"/>
      <c r="D272" s="122">
        <f t="shared" si="56"/>
        <v>0.0</v>
      </c>
      <c r="E272" s="122">
        <f t="shared" si="57"/>
        <v>0.0</v>
      </c>
      <c r="F272" s="122">
        <f t="shared" si="58"/>
        <v>0.0</v>
      </c>
      <c r="G272" s="122">
        <f t="shared" si="59"/>
        <v>0.0</v>
      </c>
      <c r="H272" s="122">
        <f t="shared" si="60"/>
        <v>0.0</v>
      </c>
      <c r="I272" s="122">
        <f t="shared" si="61"/>
        <v>0.0</v>
      </c>
      <c r="J272" s="122">
        <f t="shared" si="62"/>
        <v>0.0</v>
      </c>
      <c r="K272" s="115"/>
      <c r="L272" s="115"/>
    </row>
    <row r="273" spans="8:8">
      <c r="A273" s="120">
        <f t="shared" si="55"/>
        <v>0.0</v>
      </c>
      <c r="B273" s="120" t="s">
        <v>367</v>
      </c>
      <c r="C273" s="121"/>
      <c r="D273" s="122">
        <f t="shared" si="56"/>
        <v>0.0</v>
      </c>
      <c r="E273" s="122">
        <f t="shared" si="57"/>
        <v>0.0</v>
      </c>
      <c r="F273" s="122">
        <f t="shared" si="58"/>
        <v>0.0</v>
      </c>
      <c r="G273" s="122">
        <f t="shared" si="59"/>
        <v>0.0</v>
      </c>
      <c r="H273" s="122">
        <f t="shared" si="60"/>
        <v>0.0</v>
      </c>
      <c r="I273" s="122">
        <f t="shared" si="61"/>
        <v>0.0</v>
      </c>
      <c r="J273" s="122">
        <f t="shared" si="62"/>
        <v>0.0</v>
      </c>
      <c r="K273" s="115"/>
      <c r="L273" s="115"/>
    </row>
    <row r="274" spans="8:8">
      <c r="A274" s="120">
        <f t="shared" si="55"/>
        <v>0.0</v>
      </c>
      <c r="B274" s="120" t="s">
        <v>367</v>
      </c>
      <c r="C274" s="121"/>
      <c r="D274" s="122">
        <f t="shared" si="56"/>
        <v>0.0</v>
      </c>
      <c r="E274" s="122">
        <f t="shared" si="57"/>
        <v>0.0</v>
      </c>
      <c r="F274" s="122">
        <f>D109*$C274*F$172</f>
        <v>0.0</v>
      </c>
      <c r="G274" s="122">
        <f t="shared" si="59"/>
        <v>0.0</v>
      </c>
      <c r="H274" s="122">
        <f t="shared" si="60"/>
        <v>0.0</v>
      </c>
      <c r="I274" s="122">
        <f t="shared" si="61"/>
        <v>0.0</v>
      </c>
      <c r="J274" s="122">
        <f t="shared" si="62"/>
        <v>0.0</v>
      </c>
      <c r="K274" s="115"/>
      <c r="L274" s="115"/>
    </row>
    <row r="275" spans="8:8">
      <c r="A275" s="120" t="str">
        <f>A224</f>
        <v>Pomegranate</v>
      </c>
      <c r="B275" s="120" t="s">
        <v>367</v>
      </c>
      <c r="C275" s="121">
        <v>4700.0</v>
      </c>
      <c r="D275" s="122">
        <f t="shared" si="63" ref="D275:J280">B113*$C275*D$172</f>
        <v>0.0</v>
      </c>
      <c r="E275" s="122">
        <f t="shared" si="63"/>
        <v>0.0</v>
      </c>
      <c r="F275" s="122">
        <f t="shared" si="63"/>
        <v>0.0</v>
      </c>
      <c r="G275" s="122">
        <f t="shared" si="63"/>
        <v>0.0</v>
      </c>
      <c r="H275" s="122">
        <f t="shared" si="63"/>
        <v>0.0</v>
      </c>
      <c r="I275" s="122">
        <f t="shared" si="63"/>
        <v>0.0</v>
      </c>
      <c r="J275" s="122">
        <f t="shared" si="63"/>
        <v>0.0</v>
      </c>
      <c r="K275" s="115"/>
      <c r="L275" s="115"/>
    </row>
    <row r="276" spans="8:8">
      <c r="A276" s="120" t="str">
        <f>A225</f>
        <v>Custard Apple</v>
      </c>
      <c r="B276" s="120" t="s">
        <v>367</v>
      </c>
      <c r="C276" s="121"/>
      <c r="D276" s="122">
        <f t="shared" si="63"/>
        <v>0.0</v>
      </c>
      <c r="E276" s="122">
        <f t="shared" si="63"/>
        <v>0.0</v>
      </c>
      <c r="F276" s="122">
        <f t="shared" si="63"/>
        <v>0.0</v>
      </c>
      <c r="G276" s="122">
        <f t="shared" si="63"/>
        <v>0.0</v>
      </c>
      <c r="H276" s="122">
        <f t="shared" si="63"/>
        <v>0.0</v>
      </c>
      <c r="I276" s="122">
        <f t="shared" si="63"/>
        <v>0.0</v>
      </c>
      <c r="J276" s="122">
        <f t="shared" si="63"/>
        <v>0.0</v>
      </c>
      <c r="K276" s="115"/>
      <c r="L276" s="115"/>
    </row>
    <row r="277" spans="8:8">
      <c r="A277" s="120" t="str">
        <f>A226</f>
        <v>Guava</v>
      </c>
      <c r="B277" s="120" t="s">
        <v>367</v>
      </c>
      <c r="C277" s="121"/>
      <c r="D277" s="122">
        <f t="shared" si="63"/>
        <v>0.0</v>
      </c>
      <c r="E277" s="122">
        <f t="shared" si="63"/>
        <v>0.0</v>
      </c>
      <c r="F277" s="122">
        <f t="shared" si="63"/>
        <v>0.0</v>
      </c>
      <c r="G277" s="122">
        <f t="shared" si="63"/>
        <v>0.0</v>
      </c>
      <c r="H277" s="122">
        <f t="shared" si="63"/>
        <v>0.0</v>
      </c>
      <c r="I277" s="122">
        <f t="shared" si="63"/>
        <v>0.0</v>
      </c>
      <c r="J277" s="122">
        <f t="shared" si="63"/>
        <v>0.0</v>
      </c>
      <c r="K277" s="115"/>
      <c r="L277" s="115"/>
    </row>
    <row r="278" spans="8:8">
      <c r="A278" s="120" t="str">
        <f>A227</f>
        <v>Citrus</v>
      </c>
      <c r="B278" s="120" t="s">
        <v>367</v>
      </c>
      <c r="C278" s="121"/>
      <c r="D278" s="122">
        <f t="shared" si="63"/>
        <v>0.0</v>
      </c>
      <c r="E278" s="122">
        <f t="shared" si="63"/>
        <v>0.0</v>
      </c>
      <c r="F278" s="122">
        <f t="shared" si="63"/>
        <v>0.0</v>
      </c>
      <c r="G278" s="122">
        <f t="shared" si="63"/>
        <v>0.0</v>
      </c>
      <c r="H278" s="122">
        <f t="shared" si="63"/>
        <v>0.0</v>
      </c>
      <c r="I278" s="122">
        <f t="shared" si="63"/>
        <v>0.0</v>
      </c>
      <c r="J278" s="122">
        <f t="shared" si="63"/>
        <v>0.0</v>
      </c>
      <c r="K278" s="115"/>
      <c r="L278" s="115"/>
    </row>
    <row r="279" spans="8:8">
      <c r="A279" s="120">
        <f>A228</f>
        <v>0.0</v>
      </c>
      <c r="B279" s="120" t="s">
        <v>367</v>
      </c>
      <c r="C279" s="121"/>
      <c r="D279" s="122">
        <f t="shared" si="63"/>
        <v>0.0</v>
      </c>
      <c r="E279" s="122">
        <f t="shared" si="63"/>
        <v>0.0</v>
      </c>
      <c r="F279" s="122">
        <f t="shared" si="63"/>
        <v>0.0</v>
      </c>
      <c r="G279" s="122">
        <f t="shared" si="63"/>
        <v>0.0</v>
      </c>
      <c r="H279" s="122">
        <f t="shared" si="63"/>
        <v>0.0</v>
      </c>
      <c r="I279" s="122">
        <f t="shared" si="63"/>
        <v>0.0</v>
      </c>
      <c r="J279" s="122">
        <f t="shared" si="63"/>
        <v>0.0</v>
      </c>
      <c r="K279" s="115"/>
      <c r="L279" s="115"/>
    </row>
    <row r="280" spans="8:8">
      <c r="A280" s="120">
        <f>A230</f>
        <v>0.0</v>
      </c>
      <c r="B280" s="120"/>
      <c r="C280" s="121"/>
      <c r="D280" s="122">
        <f t="shared" si="63"/>
        <v>0.0</v>
      </c>
      <c r="E280" s="122">
        <f t="shared" si="63"/>
        <v>0.0</v>
      </c>
      <c r="F280" s="122">
        <f t="shared" si="63"/>
        <v>0.0</v>
      </c>
      <c r="G280" s="122">
        <f t="shared" si="63"/>
        <v>0.0</v>
      </c>
      <c r="H280" s="122">
        <f t="shared" si="63"/>
        <v>0.0</v>
      </c>
      <c r="I280" s="122">
        <f t="shared" si="63"/>
        <v>0.0</v>
      </c>
      <c r="J280" s="122">
        <f t="shared" si="63"/>
        <v>0.0</v>
      </c>
      <c r="K280" s="115"/>
      <c r="L280" s="115"/>
    </row>
    <row r="281" spans="8:8">
      <c r="A281" s="120"/>
      <c r="B281" s="120"/>
      <c r="C281" s="121"/>
      <c r="D281" s="122"/>
      <c r="E281" s="122"/>
      <c r="F281" s="122"/>
      <c r="G281" s="122"/>
      <c r="H281" s="122"/>
      <c r="I281" s="122"/>
      <c r="J281" s="122"/>
      <c r="K281" s="115"/>
      <c r="L281" s="115"/>
    </row>
    <row r="282" spans="8:8">
      <c r="A282" s="120" t="s">
        <v>315</v>
      </c>
      <c r="B282" s="79">
        <v>5.0</v>
      </c>
      <c r="C282" s="79">
        <v>300.0</v>
      </c>
      <c r="D282" s="122">
        <f t="shared" si="64" ref="D282:J282">B10*$B$282*$C$282*D172</f>
        <v>305677.96874999994</v>
      </c>
      <c r="E282" s="122">
        <f t="shared" si="64"/>
        <v>356624.296875</v>
      </c>
      <c r="F282" s="122">
        <f t="shared" si="64"/>
        <v>411901.0628906251</v>
      </c>
      <c r="G282" s="122">
        <f t="shared" si="64"/>
        <v>471813.94476562506</v>
      </c>
      <c r="H282" s="122">
        <f t="shared" si="64"/>
        <v>536688.3621708985</v>
      </c>
      <c r="I282" s="122">
        <f t="shared" si="64"/>
        <v>606870.686454785</v>
      </c>
      <c r="J282" s="122">
        <f t="shared" si="64"/>
        <v>682729.5222616333</v>
      </c>
      <c r="K282" s="115"/>
      <c r="L282" s="115"/>
    </row>
    <row r="283" spans="8:8">
      <c r="A283" s="120" t="s">
        <v>145</v>
      </c>
      <c r="B283" s="120">
        <f>'2.Capex Details'!H55*0.746*8</f>
        <v>298.4</v>
      </c>
      <c r="C283" s="79">
        <v>8.0</v>
      </c>
      <c r="D283" s="122">
        <f t="shared" si="65" ref="D283:J283">$B$283*$C$283*D172*B10</f>
        <v>486476.2979999999</v>
      </c>
      <c r="E283" s="122">
        <f t="shared" si="65"/>
        <v>567555.681</v>
      </c>
      <c r="F283" s="122">
        <f t="shared" si="65"/>
        <v>655526.8115550001</v>
      </c>
      <c r="G283" s="122">
        <f t="shared" si="65"/>
        <v>750876.1659629999</v>
      </c>
      <c r="H283" s="122">
        <f t="shared" si="65"/>
        <v>854121.6387829125</v>
      </c>
      <c r="I283" s="122">
        <f t="shared" si="65"/>
        <v>965814.4684699085</v>
      </c>
      <c r="J283" s="122">
        <f t="shared" si="65"/>
        <v>1086541.277028647</v>
      </c>
      <c r="K283" s="115"/>
      <c r="L283" s="115"/>
    </row>
    <row r="284" spans="8:8">
      <c r="A284" s="120" t="s">
        <v>473</v>
      </c>
      <c r="B284" s="120"/>
      <c r="C284" s="79">
        <v>30.0</v>
      </c>
      <c r="D284" s="122">
        <f t="shared" si="66" ref="D284:J284">SUM(B120:B141)*$C$284*D172</f>
        <v>464630.5125</v>
      </c>
      <c r="E284" s="122">
        <f t="shared" si="66"/>
        <v>542068.9312500001</v>
      </c>
      <c r="F284" s="122">
        <f t="shared" si="66"/>
        <v>626089.61559375</v>
      </c>
      <c r="G284" s="122">
        <f t="shared" si="66"/>
        <v>717157.19604375</v>
      </c>
      <c r="H284" s="122">
        <f t="shared" si="66"/>
        <v>815766.3104997657</v>
      </c>
      <c r="I284" s="122">
        <f t="shared" si="66"/>
        <v>922443.4434112734</v>
      </c>
      <c r="J284" s="122">
        <f t="shared" si="66"/>
        <v>1037748.8738376824</v>
      </c>
      <c r="K284" s="115"/>
      <c r="L284" s="115"/>
    </row>
    <row r="285" spans="8:8">
      <c r="A285" s="120" t="s">
        <v>472</v>
      </c>
      <c r="B285" s="120"/>
      <c r="C285" s="79">
        <v>30.0</v>
      </c>
      <c r="D285" s="122">
        <f t="shared" si="67" ref="D285:J285">SUM(B120:B141)*$C$285*D172</f>
        <v>464630.5125</v>
      </c>
      <c r="E285" s="122">
        <f t="shared" si="67"/>
        <v>542068.9312500001</v>
      </c>
      <c r="F285" s="122">
        <f t="shared" si="67"/>
        <v>626089.61559375</v>
      </c>
      <c r="G285" s="122">
        <f t="shared" si="67"/>
        <v>717157.19604375</v>
      </c>
      <c r="H285" s="122">
        <f t="shared" si="67"/>
        <v>815766.3104997657</v>
      </c>
      <c r="I285" s="122">
        <f t="shared" si="67"/>
        <v>922443.4434112734</v>
      </c>
      <c r="J285" s="122">
        <f t="shared" si="67"/>
        <v>1037748.8738376824</v>
      </c>
      <c r="K285" s="115"/>
      <c r="L285" s="115"/>
    </row>
    <row r="286" spans="8:8">
      <c r="A286" s="206"/>
      <c r="B286" s="206"/>
      <c r="C286" s="206"/>
      <c r="D286" s="206"/>
      <c r="E286" s="206"/>
      <c r="F286" s="206"/>
      <c r="G286" s="206"/>
      <c r="H286" s="206"/>
      <c r="I286" s="206"/>
      <c r="J286" s="206"/>
      <c r="K286" s="115"/>
      <c r="L286" s="115"/>
    </row>
    <row r="287" spans="8:8">
      <c r="A287" s="206"/>
      <c r="B287" s="206"/>
      <c r="C287" s="206"/>
      <c r="D287" s="206"/>
      <c r="E287" s="206"/>
      <c r="F287" s="206"/>
      <c r="G287" s="206"/>
      <c r="H287" s="206"/>
      <c r="I287" s="206"/>
      <c r="J287" s="206"/>
      <c r="K287" s="115"/>
      <c r="L287" s="115"/>
    </row>
    <row r="288" spans="8:8">
      <c r="A288" s="206"/>
      <c r="B288" s="206"/>
      <c r="C288" s="206"/>
      <c r="D288" s="206"/>
      <c r="E288" s="206"/>
      <c r="F288" s="206"/>
      <c r="G288" s="206"/>
      <c r="H288" s="206"/>
      <c r="I288" s="206"/>
      <c r="J288" s="206"/>
      <c r="K288" s="115"/>
      <c r="L288" s="115"/>
    </row>
    <row r="289" spans="8:8">
      <c r="A289" s="136" t="s">
        <v>347</v>
      </c>
      <c r="B289" s="120"/>
      <c r="C289" s="120"/>
      <c r="D289" s="441"/>
      <c r="E289" s="441">
        <f>'5.Closing Stock &amp; W Capital'!F7</f>
        <v>4701733.9889625</v>
      </c>
      <c r="F289" s="441">
        <f>'5.Closing Stock &amp; W Capital'!G7</f>
        <v>5485356.320456251</v>
      </c>
      <c r="G289" s="441">
        <f>'5.Closing Stock &amp; W Capital'!H7</f>
        <v>6335586.55012697</v>
      </c>
      <c r="H289" s="441">
        <f>'5.Closing Stock &amp; W Capital'!I7</f>
        <v>7257126.411963623</v>
      </c>
      <c r="I289" s="441">
        <f>'5.Closing Stock &amp; W Capital'!J7</f>
        <v>8254981.293608617</v>
      </c>
      <c r="J289" s="441">
        <f>'5.Closing Stock &amp; W Capital'!K7</f>
        <v>9334478.847388202</v>
      </c>
      <c r="K289" s="115"/>
      <c r="L289" s="115"/>
    </row>
    <row r="290" spans="8:8">
      <c r="A290" s="136" t="s">
        <v>348</v>
      </c>
      <c r="B290" s="120"/>
      <c r="C290" s="441"/>
      <c r="D290" s="441">
        <f>'5.Closing Stock &amp; W Capital'!E16</f>
        <v>4701733.9889625</v>
      </c>
      <c r="E290" s="441">
        <f>'5.Closing Stock &amp; W Capital'!F16</f>
        <v>5485356.320456251</v>
      </c>
      <c r="F290" s="441">
        <f>'5.Closing Stock &amp; W Capital'!G16</f>
        <v>6335586.55012697</v>
      </c>
      <c r="G290" s="441">
        <f>'5.Closing Stock &amp; W Capital'!H16</f>
        <v>7257126.411963623</v>
      </c>
      <c r="H290" s="441">
        <f>'5.Closing Stock &amp; W Capital'!I16</f>
        <v>8254981.293608617</v>
      </c>
      <c r="I290" s="441">
        <f>'5.Closing Stock &amp; W Capital'!J16</f>
        <v>9334478.847388202</v>
      </c>
      <c r="J290" s="441">
        <f>'5.Closing Stock &amp; W Capital'!K16</f>
        <v>1.0501288703311728E7</v>
      </c>
      <c r="K290" s="115"/>
      <c r="L290" s="115"/>
    </row>
    <row r="291" spans="8:8">
      <c r="A291" s="136"/>
      <c r="B291" s="120"/>
      <c r="C291" s="210"/>
      <c r="D291" s="441"/>
      <c r="E291" s="441"/>
      <c r="F291" s="441"/>
      <c r="G291" s="441"/>
      <c r="H291" s="441"/>
      <c r="I291" s="441"/>
      <c r="J291" s="441"/>
      <c r="K291" s="115"/>
      <c r="L291" s="115"/>
      <c r="M291" s="115"/>
      <c r="N291" s="115"/>
      <c r="O291" s="115"/>
      <c r="P291" s="115"/>
      <c r="Q291" s="115"/>
      <c r="R291" s="115"/>
      <c r="S291" s="115"/>
      <c r="T291" s="115"/>
    </row>
    <row r="292" spans="8:8">
      <c r="A292" s="123" t="s">
        <v>325</v>
      </c>
      <c r="B292" s="123"/>
      <c r="C292" s="123"/>
      <c r="D292" s="124">
        <f t="shared" si="68" ref="D292:J292">SUM(D233:D289)-D290</f>
        <v>8.97975763027875E7</v>
      </c>
      <c r="E292" s="124">
        <f t="shared" si="68"/>
        <v>1.0946557300888175E8</v>
      </c>
      <c r="F292" s="124">
        <f t="shared" si="68"/>
        <v>1.2648759038846204E8</v>
      </c>
      <c r="G292" s="124">
        <f t="shared" si="68"/>
        <v>1.4493814557347938E8</v>
      </c>
      <c r="H292" s="124">
        <f t="shared" si="68"/>
        <v>1.649175373010274E8</v>
      </c>
      <c r="I292" s="124">
        <f t="shared" si="68"/>
        <v>1.865325228373958E8</v>
      </c>
      <c r="J292" s="124">
        <f t="shared" si="68"/>
        <v>2.098967130841483E8</v>
      </c>
      <c r="K292" s="115"/>
      <c r="L292" s="115"/>
      <c r="M292" s="115"/>
      <c r="N292" s="115"/>
      <c r="O292" s="115"/>
      <c r="P292" s="115"/>
      <c r="Q292" s="115"/>
      <c r="R292" s="115"/>
      <c r="S292" s="115"/>
      <c r="T292" s="115"/>
    </row>
    <row r="293" spans="8:8">
      <c r="A293" s="123" t="s">
        <v>312</v>
      </c>
      <c r="B293" s="120"/>
      <c r="C293" s="120"/>
      <c r="D293" s="315"/>
      <c r="E293" s="315"/>
      <c r="F293" s="315"/>
      <c r="G293" s="315"/>
      <c r="H293" s="315"/>
      <c r="I293" s="120"/>
      <c r="J293" s="120"/>
      <c r="K293" s="115"/>
      <c r="L293" s="115"/>
      <c r="M293" s="115"/>
      <c r="N293" s="115"/>
      <c r="O293" s="115"/>
      <c r="P293" s="115"/>
      <c r="Q293" s="115"/>
      <c r="R293" s="115"/>
      <c r="S293" s="115"/>
      <c r="T293" s="115"/>
    </row>
    <row r="294" spans="8:8">
      <c r="A294" s="120" t="s">
        <v>188</v>
      </c>
      <c r="B294" s="79">
        <v>1.0</v>
      </c>
      <c r="C294" s="121">
        <v>20000.0</v>
      </c>
      <c r="D294" s="122">
        <f t="shared" si="69" ref="D294:J294">$B$294*$C$294*12*D172</f>
        <v>240000.0</v>
      </c>
      <c r="E294" s="122">
        <f t="shared" si="69"/>
        <v>252000.0</v>
      </c>
      <c r="F294" s="122">
        <f t="shared" si="69"/>
        <v>264600.0</v>
      </c>
      <c r="G294" s="122">
        <f t="shared" si="69"/>
        <v>277830.00000000006</v>
      </c>
      <c r="H294" s="122">
        <f t="shared" si="69"/>
        <v>291721.5</v>
      </c>
      <c r="I294" s="122">
        <f t="shared" si="69"/>
        <v>306307.57499999995</v>
      </c>
      <c r="J294" s="122">
        <f t="shared" si="69"/>
        <v>321622.95375</v>
      </c>
      <c r="K294" s="115"/>
      <c r="L294" s="115"/>
      <c r="M294" s="115"/>
      <c r="N294" s="115"/>
      <c r="O294" s="115"/>
      <c r="P294" s="115"/>
      <c r="Q294" s="115"/>
      <c r="R294" s="115"/>
      <c r="S294" s="115"/>
      <c r="T294" s="115"/>
    </row>
    <row r="295" spans="8:8">
      <c r="A295" s="120" t="s">
        <v>722</v>
      </c>
      <c r="B295" s="79">
        <v>2.0</v>
      </c>
      <c r="C295" s="121">
        <v>12000.0</v>
      </c>
      <c r="D295" s="122">
        <f>B295*C295*12*D172</f>
        <v>288000.0</v>
      </c>
      <c r="E295" s="122">
        <f>B295*C295*12*E172</f>
        <v>302400.0</v>
      </c>
      <c r="F295" s="122">
        <f>B295*C295*12*F172</f>
        <v>317520.0</v>
      </c>
      <c r="G295" s="122">
        <f>$B$295*$C$295*12*G172</f>
        <v>333396.00000000006</v>
      </c>
      <c r="H295" s="122">
        <f t="shared" si="70" ref="H295:J295">$B$295*$C$295*12*H172</f>
        <v>350065.8</v>
      </c>
      <c r="I295" s="122">
        <f t="shared" si="70"/>
        <v>367569.08999999997</v>
      </c>
      <c r="J295" s="122">
        <f t="shared" si="70"/>
        <v>385947.5445</v>
      </c>
      <c r="K295" s="115"/>
      <c r="L295" s="115"/>
      <c r="M295" s="115"/>
      <c r="N295" s="444"/>
      <c r="O295" s="115"/>
      <c r="P295" s="115"/>
      <c r="Q295" s="115"/>
      <c r="R295" s="115"/>
      <c r="S295" s="115"/>
      <c r="T295" s="115"/>
    </row>
    <row r="296" spans="8:8">
      <c r="A296" s="120" t="s">
        <v>723</v>
      </c>
      <c r="B296" s="79"/>
      <c r="C296" s="121"/>
      <c r="D296" s="122">
        <f>'3.Other Exp &amp; Taxes'!C68*0.01</f>
        <v>262029.89644699998</v>
      </c>
      <c r="E296" s="122">
        <f>'3.Other Exp &amp; Taxes'!D68*0.01</f>
        <v>251781.302894</v>
      </c>
      <c r="F296" s="122">
        <f>'3.Other Exp &amp; Taxes'!E68*0.01</f>
        <v>241532.70934099998</v>
      </c>
      <c r="G296" s="122">
        <f>'3.Other Exp &amp; Taxes'!F68*0.01</f>
        <v>231284.115788</v>
      </c>
      <c r="H296" s="122">
        <f>'3.Other Exp &amp; Taxes'!G68*0.01</f>
        <v>221035.52223499998</v>
      </c>
      <c r="I296" s="122">
        <f>'3.Other Exp &amp; Taxes'!H68*0.01</f>
        <v>210786.928682</v>
      </c>
      <c r="J296" s="122">
        <f>'3.Other Exp &amp; Taxes'!I68*0.01</f>
        <v>200538.33512899998</v>
      </c>
      <c r="K296" s="115"/>
      <c r="L296" s="115"/>
      <c r="M296" s="115"/>
      <c r="N296" s="115"/>
      <c r="O296" s="115"/>
      <c r="P296" s="115"/>
      <c r="Q296" s="115"/>
      <c r="R296" s="115"/>
      <c r="S296" s="115"/>
      <c r="T296" s="115"/>
    </row>
    <row r="297" spans="8:8">
      <c r="A297" s="120" t="s">
        <v>725</v>
      </c>
      <c r="B297" s="79"/>
      <c r="C297" s="121"/>
      <c r="D297" s="122">
        <f>'3.Other Exp &amp; Taxes'!C68*0.02</f>
        <v>524059.79289399995</v>
      </c>
      <c r="E297" s="122">
        <f>'3.Other Exp &amp; Taxes'!D68*0.02</f>
        <v>503562.605788</v>
      </c>
      <c r="F297" s="122">
        <f>'3.Other Exp &amp; Taxes'!E68*0.02</f>
        <v>483065.41868199996</v>
      </c>
      <c r="G297" s="122">
        <f>'3.Other Exp &amp; Taxes'!F68*0.02</f>
        <v>462568.231576</v>
      </c>
      <c r="H297" s="122">
        <f>'3.Other Exp &amp; Taxes'!G68*0.02</f>
        <v>442071.04446999996</v>
      </c>
      <c r="I297" s="122">
        <f>'3.Other Exp &amp; Taxes'!H68*0.02</f>
        <v>421573.857364</v>
      </c>
      <c r="J297" s="122">
        <f>'3.Other Exp &amp; Taxes'!I68*0.02</f>
        <v>401076.67025799997</v>
      </c>
      <c r="K297" s="115"/>
      <c r="L297" s="115"/>
      <c r="M297" s="115"/>
      <c r="N297" s="115"/>
      <c r="O297" s="115"/>
      <c r="P297" s="115"/>
      <c r="Q297" s="115"/>
      <c r="R297" s="115"/>
      <c r="S297" s="115"/>
      <c r="T297" s="115"/>
    </row>
    <row r="298" spans="8:8">
      <c r="A298" s="120"/>
      <c r="B298" s="79"/>
      <c r="C298" s="121"/>
      <c r="D298" s="122"/>
      <c r="E298" s="122"/>
      <c r="F298" s="122"/>
      <c r="G298" s="122"/>
      <c r="H298" s="122"/>
      <c r="I298" s="122"/>
      <c r="J298" s="122"/>
      <c r="K298" s="115"/>
      <c r="L298" s="115"/>
      <c r="M298" s="115"/>
      <c r="N298" s="115"/>
      <c r="O298" s="115"/>
      <c r="P298" s="115"/>
      <c r="Q298" s="115"/>
      <c r="R298" s="115"/>
      <c r="S298" s="115"/>
      <c r="T298" s="115"/>
    </row>
    <row r="299" spans="8:8">
      <c r="A299" s="120"/>
      <c r="B299" s="79"/>
      <c r="C299" s="121"/>
      <c r="D299" s="122"/>
      <c r="E299" s="122"/>
      <c r="F299" s="122"/>
      <c r="G299" s="122"/>
      <c r="H299" s="122"/>
      <c r="I299" s="122"/>
      <c r="J299" s="122"/>
      <c r="K299" s="115"/>
      <c r="L299" s="115"/>
      <c r="M299" s="115"/>
      <c r="N299" s="115"/>
      <c r="O299" s="115"/>
      <c r="P299" s="115"/>
      <c r="Q299" s="115"/>
      <c r="R299" s="115"/>
      <c r="S299" s="115"/>
      <c r="T299" s="115"/>
    </row>
    <row r="300" spans="8:8">
      <c r="A300" s="120"/>
      <c r="B300" s="79"/>
      <c r="C300" s="121"/>
      <c r="D300" s="122"/>
      <c r="E300" s="122"/>
      <c r="F300" s="122"/>
      <c r="G300" s="122"/>
      <c r="H300" s="122"/>
      <c r="I300" s="122"/>
      <c r="J300" s="122"/>
      <c r="K300" s="115"/>
      <c r="L300" s="115"/>
      <c r="M300" s="115"/>
      <c r="N300" s="115"/>
      <c r="O300" s="115"/>
      <c r="P300" s="115"/>
      <c r="Q300" s="115"/>
      <c r="R300" s="115"/>
      <c r="S300" s="115"/>
      <c r="T300" s="115"/>
    </row>
    <row r="301" spans="8:8">
      <c r="A301" s="123" t="s">
        <v>329</v>
      </c>
      <c r="B301" s="84"/>
      <c r="C301" s="84"/>
      <c r="D301" s="124">
        <f t="shared" si="71" ref="D301:J301">SUM(D294:D300)</f>
        <v>1314089.6893409998</v>
      </c>
      <c r="E301" s="124">
        <f t="shared" si="71"/>
        <v>1309743.908682</v>
      </c>
      <c r="F301" s="124">
        <f t="shared" si="71"/>
        <v>1306718.128023</v>
      </c>
      <c r="G301" s="124">
        <f t="shared" si="71"/>
        <v>1305078.347364</v>
      </c>
      <c r="H301" s="124">
        <f t="shared" si="71"/>
        <v>1304893.866705</v>
      </c>
      <c r="I301" s="124">
        <f t="shared" si="71"/>
        <v>1306237.451046</v>
      </c>
      <c r="J301" s="124">
        <f t="shared" si="71"/>
        <v>1309185.503637</v>
      </c>
      <c r="K301" s="115"/>
      <c r="L301" s="115"/>
      <c r="M301" s="115"/>
      <c r="N301" s="444"/>
      <c r="O301" s="115"/>
      <c r="P301" s="115"/>
      <c r="Q301" s="115"/>
      <c r="R301" s="115"/>
      <c r="S301" s="115"/>
      <c r="T301" s="115"/>
    </row>
    <row r="302" spans="8:8">
      <c r="A302" s="123" t="s">
        <v>130</v>
      </c>
      <c r="B302" s="123"/>
      <c r="C302" s="123"/>
      <c r="D302" s="124">
        <f t="shared" si="72" ref="D302:J302">D292+D301</f>
        <v>9.111166599212849E7</v>
      </c>
      <c r="E302" s="124">
        <f t="shared" si="72"/>
        <v>1.10775316917564E8</v>
      </c>
      <c r="F302" s="124">
        <f t="shared" si="72"/>
        <v>1.27794308516485E8</v>
      </c>
      <c r="G302" s="124">
        <f t="shared" si="72"/>
        <v>1.46243223920843E8</v>
      </c>
      <c r="H302" s="124">
        <f t="shared" si="72"/>
        <v>1.66222431167732E8</v>
      </c>
      <c r="I302" s="124">
        <f t="shared" si="72"/>
        <v>1.87838760288442E8</v>
      </c>
      <c r="J302" s="124">
        <f t="shared" si="72"/>
        <v>2.1120589858778498E8</v>
      </c>
      <c r="K302" s="115"/>
      <c r="L302" s="115"/>
      <c r="M302" s="115"/>
      <c r="N302" s="115"/>
      <c r="O302" s="115"/>
      <c r="P302" s="115"/>
      <c r="Q302" s="115"/>
      <c r="R302" s="115"/>
      <c r="S302" s="115"/>
      <c r="T302" s="115"/>
    </row>
    <row r="303" spans="8:8">
      <c r="A303" s="120"/>
      <c r="B303" s="120"/>
      <c r="C303" s="120"/>
      <c r="D303" s="315"/>
      <c r="E303" s="315"/>
      <c r="F303" s="315"/>
      <c r="G303" s="315"/>
      <c r="H303" s="315"/>
      <c r="I303" s="120"/>
      <c r="J303" s="120"/>
      <c r="K303" s="115"/>
      <c r="L303" s="115"/>
      <c r="M303" s="115"/>
      <c r="N303" s="115"/>
      <c r="O303" s="115"/>
      <c r="P303" s="115"/>
      <c r="Q303" s="115"/>
      <c r="R303" s="115"/>
      <c r="S303" s="115"/>
      <c r="T303" s="115"/>
    </row>
    <row r="304" spans="8:8">
      <c r="A304" s="123"/>
      <c r="B304" s="123"/>
      <c r="C304" s="123"/>
      <c r="D304" s="315"/>
      <c r="E304" s="315"/>
      <c r="F304" s="315"/>
      <c r="G304" s="315"/>
      <c r="H304" s="315"/>
      <c r="I304" s="120"/>
      <c r="J304" s="120"/>
      <c r="K304" s="115"/>
      <c r="L304" s="115"/>
      <c r="M304" s="115"/>
      <c r="N304" s="115"/>
      <c r="O304" s="115"/>
      <c r="P304" s="115"/>
      <c r="Q304" s="115"/>
      <c r="R304" s="115"/>
      <c r="S304" s="115"/>
      <c r="T304" s="115"/>
    </row>
    <row r="305" spans="8:8">
      <c r="A305" s="123" t="s">
        <v>317</v>
      </c>
      <c r="B305" s="123"/>
      <c r="C305" s="123"/>
      <c r="D305" s="124">
        <f t="shared" si="73" ref="D305:J305">D229-D302</f>
        <v>7305021.535996497</v>
      </c>
      <c r="E305" s="124">
        <f t="shared" si="73"/>
        <v>9482968.80759199</v>
      </c>
      <c r="F305" s="124">
        <f t="shared" si="73"/>
        <v>1.1167464360397995E7</v>
      </c>
      <c r="G305" s="124">
        <f t="shared" si="73"/>
        <v>1.2991739108626008E7</v>
      </c>
      <c r="H305" s="124">
        <f t="shared" si="73"/>
        <v>1.4965636597389996E7</v>
      </c>
      <c r="I305" s="124">
        <f t="shared" si="73"/>
        <v>1.7099635278324008E7</v>
      </c>
      <c r="J305" s="124">
        <f t="shared" si="73"/>
        <v>1.9404887391377002E7</v>
      </c>
      <c r="K305" s="115"/>
      <c r="L305" s="115"/>
      <c r="M305" s="115"/>
      <c r="N305" s="115"/>
      <c r="O305" s="115"/>
      <c r="P305" s="115"/>
      <c r="Q305" s="115"/>
      <c r="R305" s="115"/>
      <c r="S305" s="115"/>
      <c r="T305" s="115"/>
    </row>
    <row r="306" spans="8:8">
      <c r="A306" s="115"/>
      <c r="B306" s="115"/>
      <c r="C306" s="115"/>
      <c r="D306" s="115"/>
      <c r="E306" s="115"/>
      <c r="F306" s="115"/>
      <c r="G306" s="115"/>
      <c r="H306" s="115"/>
      <c r="I306" s="115"/>
      <c r="J306" s="115"/>
    </row>
    <row r="307" spans="8:8">
      <c r="A307" s="115" t="s">
        <v>51</v>
      </c>
      <c r="B307" s="115"/>
      <c r="C307" s="115"/>
      <c r="D307" s="115"/>
      <c r="E307" s="115"/>
      <c r="F307" s="115"/>
      <c r="G307" s="115"/>
      <c r="H307" s="115"/>
      <c r="I307" s="115"/>
      <c r="J307" s="115"/>
    </row>
    <row r="308" spans="8:8">
      <c r="A308" s="49" t="s">
        <v>431</v>
      </c>
      <c r="B308" s="49"/>
      <c r="C308" s="49"/>
      <c r="D308" s="49"/>
      <c r="E308" s="49"/>
      <c r="F308" s="49"/>
      <c r="G308" s="49"/>
      <c r="H308" s="49"/>
      <c r="I308" s="49"/>
      <c r="J308" s="49"/>
    </row>
    <row r="310" spans="8:8">
      <c r="A310" t="s">
        <v>553</v>
      </c>
    </row>
    <row r="311" spans="8:8">
      <c r="A311">
        <v>1.0</v>
      </c>
      <c r="B311" t="s">
        <v>566</v>
      </c>
    </row>
    <row r="312" spans="8:8">
      <c r="A312">
        <v>2.0</v>
      </c>
      <c r="B312" t="s">
        <v>567</v>
      </c>
    </row>
    <row r="313" spans="8:8">
      <c r="A313">
        <v>3.0</v>
      </c>
      <c r="B313" s="115" t="s">
        <v>619</v>
      </c>
    </row>
  </sheetData>
  <mergeCells count="5">
    <mergeCell ref="A170:J170"/>
    <mergeCell ref="A308:J308"/>
    <mergeCell ref="A2:H2"/>
    <mergeCell ref="F4:H4"/>
    <mergeCell ref="A3:H3"/>
  </mergeCells>
  <pageMargins left="0.45" right="0.17" top="0.39" bottom="0.29" header="0.3" footer="0.3"/>
  <pageSetup paperSize="9" scale="74" orientation="landscape"/>
</worksheet>
</file>

<file path=xl/worksheets/sheet14.xml><?xml version="1.0" encoding="utf-8"?>
<worksheet xmlns:r="http://schemas.openxmlformats.org/officeDocument/2006/relationships" xmlns="http://schemas.openxmlformats.org/spreadsheetml/2006/main">
  <dimension ref="A2:L189"/>
  <sheetViews>
    <sheetView workbookViewId="0" topLeftCell="A139" zoomScale="80">
      <selection activeCell="K13" sqref="K13"/>
    </sheetView>
  </sheetViews>
  <sheetFormatPr defaultRowHeight="15.0" defaultColWidth="10"/>
  <cols>
    <col min="1" max="1" customWidth="1" bestFit="1" width="41.85547" style="0"/>
    <col min="2" max="2" customWidth="1" width="10.5703125" style="0"/>
    <col min="3" max="3" customWidth="1" bestFit="1" width="10.5703125" style="0"/>
    <col min="4" max="4" customWidth="1" width="15.140625" style="0"/>
    <col min="5" max="8" customWidth="1" width="17.140625" style="0"/>
    <col min="9" max="10" customWidth="1" bestFit="1" width="16.855469" style="0"/>
  </cols>
  <sheetData>
    <row r="3" spans="8:8" ht="18.75">
      <c r="A3" s="30" t="s">
        <v>603</v>
      </c>
      <c r="B3" s="30"/>
      <c r="C3" s="30"/>
      <c r="D3" s="30"/>
      <c r="E3" s="30"/>
      <c r="F3" s="30"/>
      <c r="G3" s="30"/>
      <c r="H3" s="30"/>
    </row>
    <row r="4" spans="8:8" ht="18.75">
      <c r="A4" s="30" t="s">
        <v>604</v>
      </c>
      <c r="B4" s="30"/>
      <c r="C4" s="30"/>
      <c r="D4" s="30"/>
      <c r="E4" s="30"/>
      <c r="F4" s="30"/>
      <c r="G4" s="30"/>
      <c r="H4" s="30"/>
    </row>
    <row r="5" spans="8:8">
      <c r="A5" s="115" t="s">
        <v>161</v>
      </c>
      <c r="B5" s="424">
        <f>200/100</f>
        <v>2.0</v>
      </c>
      <c r="C5" s="115" t="s">
        <v>483</v>
      </c>
      <c r="D5" s="115"/>
      <c r="E5" s="115"/>
      <c r="F5" s="115"/>
      <c r="G5" s="115"/>
      <c r="H5" s="115"/>
    </row>
    <row r="6" spans="8:8">
      <c r="A6" s="115" t="s">
        <v>162</v>
      </c>
      <c r="B6" s="425">
        <v>8.0</v>
      </c>
      <c r="C6" s="115"/>
      <c r="D6" s="115"/>
      <c r="E6" s="115"/>
      <c r="F6" s="115"/>
      <c r="G6" s="115"/>
      <c r="H6" s="115"/>
    </row>
    <row r="7" spans="8:8">
      <c r="A7" s="115"/>
      <c r="B7" s="425"/>
      <c r="C7" s="115"/>
      <c r="D7" s="115"/>
      <c r="E7" s="115"/>
      <c r="F7" s="115"/>
      <c r="G7" s="115"/>
      <c r="H7" s="115"/>
    </row>
    <row r="8" spans="8:8">
      <c r="A8" s="115"/>
      <c r="B8" s="425"/>
      <c r="C8" s="115"/>
      <c r="D8" s="115"/>
      <c r="E8" s="115"/>
      <c r="F8" s="115"/>
      <c r="G8" s="115"/>
      <c r="H8" s="115"/>
    </row>
    <row r="9" spans="8:8">
      <c r="A9" s="115"/>
      <c r="B9" s="115"/>
      <c r="C9" s="115"/>
      <c r="D9" s="115"/>
      <c r="E9" s="115"/>
      <c r="F9" s="115"/>
      <c r="G9" s="115"/>
      <c r="H9" s="115"/>
    </row>
    <row r="10" spans="8:8">
      <c r="A10" s="115"/>
      <c r="B10" s="115"/>
      <c r="C10" s="115"/>
      <c r="D10" s="115"/>
      <c r="E10" s="115"/>
      <c r="F10" s="115"/>
      <c r="G10" s="115"/>
      <c r="H10" s="115"/>
    </row>
    <row r="11" spans="8:8">
      <c r="A11" s="195" t="s">
        <v>0</v>
      </c>
      <c r="B11" s="196" t="s">
        <v>2</v>
      </c>
      <c r="C11" s="196" t="s">
        <v>3</v>
      </c>
      <c r="D11" s="196" t="s">
        <v>4</v>
      </c>
      <c r="E11" s="196" t="s">
        <v>5</v>
      </c>
      <c r="F11" s="196" t="s">
        <v>6</v>
      </c>
      <c r="G11" s="196" t="s">
        <v>169</v>
      </c>
      <c r="H11" s="196" t="s">
        <v>168</v>
      </c>
    </row>
    <row r="12" spans="8:8">
      <c r="A12" s="120" t="s">
        <v>170</v>
      </c>
      <c r="B12" s="445">
        <f>B32/($B$5*$B$6)</f>
        <v>0.0</v>
      </c>
      <c r="C12" s="445">
        <f t="shared" si="0" ref="C12:H12">C32/($B$5*$B$6)</f>
        <v>0.0</v>
      </c>
      <c r="D12" s="445">
        <f t="shared" si="0"/>
        <v>0.0</v>
      </c>
      <c r="E12" s="445">
        <f t="shared" si="0"/>
        <v>0.0</v>
      </c>
      <c r="F12" s="445">
        <f t="shared" si="0"/>
        <v>0.0</v>
      </c>
      <c r="G12" s="445">
        <f t="shared" si="0"/>
        <v>0.0</v>
      </c>
      <c r="H12" s="445">
        <f t="shared" si="0"/>
        <v>0.0</v>
      </c>
    </row>
    <row r="13" spans="8:8">
      <c r="A13" s="120" t="str">
        <f>'10.Grain Production details'!A67</f>
        <v>Soybean</v>
      </c>
      <c r="B13" s="120">
        <f>'10.Grain Production details'!B67</f>
        <v>0.0</v>
      </c>
      <c r="C13" s="120">
        <f>'10.Grain Production details'!C67</f>
        <v>0.0</v>
      </c>
      <c r="D13" s="120">
        <f>'10.Grain Production details'!D67</f>
        <v>0.0</v>
      </c>
      <c r="E13" s="120">
        <f>'10.Grain Production details'!E67</f>
        <v>0.0</v>
      </c>
      <c r="F13" s="120">
        <f>'10.Grain Production details'!F67</f>
        <v>0.0</v>
      </c>
      <c r="G13" s="120">
        <f>'10.Grain Production details'!G67</f>
        <v>0.0</v>
      </c>
      <c r="H13" s="120">
        <f>'10.Grain Production details'!H67</f>
        <v>0.0</v>
      </c>
    </row>
    <row r="14" spans="8:8">
      <c r="A14" s="120" t="str">
        <f>'10.Grain Production details'!A68</f>
        <v>Red Gram/Tur</v>
      </c>
      <c r="B14" s="120">
        <f>'10.Grain Production details'!B68</f>
        <v>0.0</v>
      </c>
      <c r="C14" s="120">
        <f>'10.Grain Production details'!C68</f>
        <v>0.0</v>
      </c>
      <c r="D14" s="120">
        <f>'10.Grain Production details'!D68</f>
        <v>0.0</v>
      </c>
      <c r="E14" s="120">
        <f>'10.Grain Production details'!E68</f>
        <v>0.0</v>
      </c>
      <c r="F14" s="120">
        <f>'10.Grain Production details'!F68</f>
        <v>0.0</v>
      </c>
      <c r="G14" s="120">
        <f>'10.Grain Production details'!G68</f>
        <v>0.0</v>
      </c>
      <c r="H14" s="120">
        <f>'10.Grain Production details'!H68</f>
        <v>0.0</v>
      </c>
    </row>
    <row r="15" spans="8:8">
      <c r="A15" s="120" t="str">
        <f>'10.Grain Production details'!A69</f>
        <v>Paddy/Rice</v>
      </c>
      <c r="B15" s="120">
        <f>'10.Grain Production details'!B69</f>
        <v>0.0</v>
      </c>
      <c r="C15" s="120">
        <f>'10.Grain Production details'!C69</f>
        <v>0.0</v>
      </c>
      <c r="D15" s="120">
        <f>'10.Grain Production details'!D69</f>
        <v>0.0</v>
      </c>
      <c r="E15" s="120">
        <f>'10.Grain Production details'!E69</f>
        <v>0.0</v>
      </c>
      <c r="F15" s="120">
        <f>'10.Grain Production details'!F69</f>
        <v>0.0</v>
      </c>
      <c r="G15" s="120">
        <f>'10.Grain Production details'!G69</f>
        <v>0.0</v>
      </c>
      <c r="H15" s="120">
        <f>'10.Grain Production details'!H69</f>
        <v>0.0</v>
      </c>
    </row>
    <row r="16" spans="8:8">
      <c r="A16" s="120" t="str">
        <f>'10.Grain Production details'!A70</f>
        <v>Green Gram/ Moong</v>
      </c>
      <c r="B16" s="120">
        <f>'10.Grain Production details'!B70</f>
        <v>0.0</v>
      </c>
      <c r="C16" s="120">
        <f>'10.Grain Production details'!C70</f>
        <v>0.0</v>
      </c>
      <c r="D16" s="120">
        <f>'10.Grain Production details'!D70</f>
        <v>0.0</v>
      </c>
      <c r="E16" s="120">
        <f>'10.Grain Production details'!E70</f>
        <v>0.0</v>
      </c>
      <c r="F16" s="120">
        <f>'10.Grain Production details'!F70</f>
        <v>0.0</v>
      </c>
      <c r="G16" s="120">
        <f>'10.Grain Production details'!G70</f>
        <v>0.0</v>
      </c>
      <c r="H16" s="120">
        <f>'10.Grain Production details'!H70</f>
        <v>0.0</v>
      </c>
    </row>
    <row r="17" spans="8:8">
      <c r="A17" s="120" t="str">
        <f>'10.Grain Production details'!A71</f>
        <v>Maize</v>
      </c>
      <c r="B17" s="120">
        <f>'10.Grain Production details'!B71</f>
        <v>0.0</v>
      </c>
      <c r="C17" s="120">
        <f>'10.Grain Production details'!C71</f>
        <v>0.0</v>
      </c>
      <c r="D17" s="120">
        <f>'10.Grain Production details'!D71</f>
        <v>0.0</v>
      </c>
      <c r="E17" s="120">
        <f>'10.Grain Production details'!E71</f>
        <v>0.0</v>
      </c>
      <c r="F17" s="120">
        <f>'10.Grain Production details'!F71</f>
        <v>0.0</v>
      </c>
      <c r="G17" s="120">
        <f>'10.Grain Production details'!G71</f>
        <v>0.0</v>
      </c>
      <c r="H17" s="120">
        <f>'10.Grain Production details'!H71</f>
        <v>0.0</v>
      </c>
    </row>
    <row r="18" spans="8:8">
      <c r="A18" s="120" t="str">
        <f>'10.Grain Production details'!A72</f>
        <v>Black Gram/Udid</v>
      </c>
      <c r="B18" s="120">
        <f>'10.Grain Production details'!B72</f>
        <v>0.0</v>
      </c>
      <c r="C18" s="120">
        <f>'10.Grain Production details'!C72</f>
        <v>0.0</v>
      </c>
      <c r="D18" s="120">
        <f>'10.Grain Production details'!D72</f>
        <v>0.0</v>
      </c>
      <c r="E18" s="120">
        <f>'10.Grain Production details'!E72</f>
        <v>0.0</v>
      </c>
      <c r="F18" s="120">
        <f>'10.Grain Production details'!F72</f>
        <v>0.0</v>
      </c>
      <c r="G18" s="120">
        <f>'10.Grain Production details'!G72</f>
        <v>0.0</v>
      </c>
      <c r="H18" s="120">
        <f>'10.Grain Production details'!H72</f>
        <v>0.0</v>
      </c>
    </row>
    <row r="19" spans="8:8">
      <c r="A19" s="120" t="str">
        <f>'10.Grain Production details'!A73</f>
        <v>Bajra</v>
      </c>
      <c r="B19" s="120">
        <f>'10.Grain Production details'!B73</f>
        <v>0.0</v>
      </c>
      <c r="C19" s="120">
        <f>'10.Grain Production details'!C73</f>
        <v>0.0</v>
      </c>
      <c r="D19" s="120">
        <f>'10.Grain Production details'!D73</f>
        <v>0.0</v>
      </c>
      <c r="E19" s="120">
        <f>'10.Grain Production details'!E73</f>
        <v>0.0</v>
      </c>
      <c r="F19" s="120">
        <f>'10.Grain Production details'!F73</f>
        <v>0.0</v>
      </c>
      <c r="G19" s="120">
        <f>'10.Grain Production details'!G73</f>
        <v>0.0</v>
      </c>
      <c r="H19" s="120">
        <f>'10.Grain Production details'!H73</f>
        <v>0.0</v>
      </c>
    </row>
    <row r="20" spans="8:8">
      <c r="A20" s="120" t="str">
        <f>'10.Grain Production details'!A74</f>
        <v>Jawar</v>
      </c>
      <c r="B20" s="120">
        <f>'10.Grain Production details'!B74</f>
        <v>0.0</v>
      </c>
      <c r="C20" s="120">
        <f>'10.Grain Production details'!C74</f>
        <v>0.0</v>
      </c>
      <c r="D20" s="120">
        <f>'10.Grain Production details'!D74</f>
        <v>0.0</v>
      </c>
      <c r="E20" s="120">
        <f>'10.Grain Production details'!E74</f>
        <v>0.0</v>
      </c>
      <c r="F20" s="120">
        <f>'10.Grain Production details'!F74</f>
        <v>0.0</v>
      </c>
      <c r="G20" s="120">
        <f>'10.Grain Production details'!G74</f>
        <v>0.0</v>
      </c>
      <c r="H20" s="120">
        <f>'10.Grain Production details'!H74</f>
        <v>0.0</v>
      </c>
    </row>
    <row r="21" spans="8:8">
      <c r="A21" s="120" t="str">
        <f>'10.Grain Production details'!A75</f>
        <v>Sunflower</v>
      </c>
      <c r="B21" s="120">
        <f>'10.Grain Production details'!B75</f>
        <v>0.0</v>
      </c>
      <c r="C21" s="120">
        <f>'10.Grain Production details'!C75</f>
        <v>0.0</v>
      </c>
      <c r="D21" s="120">
        <f>'10.Grain Production details'!D75</f>
        <v>0.0</v>
      </c>
      <c r="E21" s="120">
        <f>'10.Grain Production details'!E75</f>
        <v>0.0</v>
      </c>
      <c r="F21" s="120">
        <f>'10.Grain Production details'!F75</f>
        <v>0.0</v>
      </c>
      <c r="G21" s="120">
        <f>'10.Grain Production details'!G75</f>
        <v>0.0</v>
      </c>
      <c r="H21" s="120">
        <f>'10.Grain Production details'!H75</f>
        <v>0.0</v>
      </c>
    </row>
    <row r="22" spans="8:8">
      <c r="A22" s="120" t="str">
        <f>'10.Grain Production details'!A76</f>
        <v>Wheat</v>
      </c>
      <c r="B22" s="120">
        <f>'10.Grain Production details'!B76</f>
        <v>0.0</v>
      </c>
      <c r="C22" s="120">
        <f>'10.Grain Production details'!C76</f>
        <v>0.0</v>
      </c>
      <c r="D22" s="120">
        <f>'10.Grain Production details'!D76</f>
        <v>0.0</v>
      </c>
      <c r="E22" s="120">
        <f>'10.Grain Production details'!E76</f>
        <v>0.0</v>
      </c>
      <c r="F22" s="120">
        <f>'10.Grain Production details'!F76</f>
        <v>0.0</v>
      </c>
      <c r="G22" s="120">
        <f>'10.Grain Production details'!G76</f>
        <v>0.0</v>
      </c>
      <c r="H22" s="120">
        <f>'10.Grain Production details'!H76</f>
        <v>0.0</v>
      </c>
    </row>
    <row r="23" spans="8:8">
      <c r="A23" s="120" t="str">
        <f>'10.Grain Production details'!A77</f>
        <v>Bengal Gram/Channa</v>
      </c>
      <c r="B23" s="120">
        <f>'10.Grain Production details'!B77</f>
        <v>0.0</v>
      </c>
      <c r="C23" s="120">
        <f>'10.Grain Production details'!C77</f>
        <v>0.0</v>
      </c>
      <c r="D23" s="120">
        <f>'10.Grain Production details'!D77</f>
        <v>0.0</v>
      </c>
      <c r="E23" s="120">
        <f>'10.Grain Production details'!E77</f>
        <v>0.0</v>
      </c>
      <c r="F23" s="120">
        <f>'10.Grain Production details'!F77</f>
        <v>0.0</v>
      </c>
      <c r="G23" s="120">
        <f>'10.Grain Production details'!G77</f>
        <v>0.0</v>
      </c>
      <c r="H23" s="120">
        <f>'10.Grain Production details'!H77</f>
        <v>0.0</v>
      </c>
    </row>
    <row r="24" spans="8:8">
      <c r="A24" s="120" t="str">
        <f>'10.Grain Production details'!A78</f>
        <v>Jawar</v>
      </c>
      <c r="B24" s="120">
        <f>'10.Grain Production details'!B78</f>
        <v>0.0</v>
      </c>
      <c r="C24" s="120">
        <f>'10.Grain Production details'!C78</f>
        <v>0.0</v>
      </c>
      <c r="D24" s="120">
        <f>'10.Grain Production details'!D78</f>
        <v>0.0</v>
      </c>
      <c r="E24" s="120">
        <f>'10.Grain Production details'!E78</f>
        <v>0.0</v>
      </c>
      <c r="F24" s="120">
        <f>'10.Grain Production details'!F78</f>
        <v>0.0</v>
      </c>
      <c r="G24" s="120">
        <f>'10.Grain Production details'!G78</f>
        <v>0.0</v>
      </c>
      <c r="H24" s="120">
        <f>'10.Grain Production details'!H78</f>
        <v>0.0</v>
      </c>
    </row>
    <row r="25" spans="8:8">
      <c r="A25" s="120" t="str">
        <f>'10.Grain Production details'!A79</f>
        <v>Maize</v>
      </c>
      <c r="B25" s="120">
        <f>'10.Grain Production details'!B79</f>
        <v>0.0</v>
      </c>
      <c r="C25" s="120">
        <f>'10.Grain Production details'!C79</f>
        <v>0.0</v>
      </c>
      <c r="D25" s="120">
        <f>'10.Grain Production details'!D79</f>
        <v>0.0</v>
      </c>
      <c r="E25" s="120">
        <f>'10.Grain Production details'!E79</f>
        <v>0.0</v>
      </c>
      <c r="F25" s="120">
        <f>'10.Grain Production details'!F79</f>
        <v>0.0</v>
      </c>
      <c r="G25" s="120">
        <f>'10.Grain Production details'!G79</f>
        <v>0.0</v>
      </c>
      <c r="H25" s="120">
        <f>'10.Grain Production details'!H79</f>
        <v>0.0</v>
      </c>
    </row>
    <row r="26" spans="8:8">
      <c r="A26" s="120" t="str">
        <f>'10.Grain Production details'!A80</f>
        <v>Safflower</v>
      </c>
      <c r="B26" s="120">
        <f>'10.Grain Production details'!B80</f>
        <v>0.0</v>
      </c>
      <c r="C26" s="120">
        <f>'10.Grain Production details'!C80</f>
        <v>0.0</v>
      </c>
      <c r="D26" s="120">
        <f>'10.Grain Production details'!D80</f>
        <v>0.0</v>
      </c>
      <c r="E26" s="120">
        <f>'10.Grain Production details'!E80</f>
        <v>0.0</v>
      </c>
      <c r="F26" s="120">
        <f>'10.Grain Production details'!F80</f>
        <v>0.0</v>
      </c>
      <c r="G26" s="120">
        <f>'10.Grain Production details'!G80</f>
        <v>0.0</v>
      </c>
      <c r="H26" s="120">
        <f>'10.Grain Production details'!H80</f>
        <v>0.0</v>
      </c>
    </row>
    <row r="27" spans="8:8">
      <c r="A27" s="120">
        <f>'10.Grain Production details'!A81</f>
        <v>0.0</v>
      </c>
      <c r="B27" s="120">
        <f>'10.Grain Production details'!B81</f>
        <v>0.0</v>
      </c>
      <c r="C27" s="120">
        <f>'10.Grain Production details'!C81</f>
        <v>0.0</v>
      </c>
      <c r="D27" s="120">
        <f>'10.Grain Production details'!D81</f>
        <v>0.0</v>
      </c>
      <c r="E27" s="120">
        <f>'10.Grain Production details'!E81</f>
        <v>0.0</v>
      </c>
      <c r="F27" s="120">
        <f>'10.Grain Production details'!F81</f>
        <v>0.0</v>
      </c>
      <c r="G27" s="120">
        <f>'10.Grain Production details'!G81</f>
        <v>0.0</v>
      </c>
      <c r="H27" s="120">
        <f>'10.Grain Production details'!H81</f>
        <v>0.0</v>
      </c>
    </row>
    <row r="28" spans="8:8">
      <c r="A28" s="120">
        <f>'10.Grain Production details'!A82</f>
        <v>0.0</v>
      </c>
      <c r="B28" s="120">
        <f>'10.Grain Production details'!B82</f>
        <v>0.0</v>
      </c>
      <c r="C28" s="120">
        <f>'10.Grain Production details'!C82</f>
        <v>0.0</v>
      </c>
      <c r="D28" s="120">
        <f>'10.Grain Production details'!D82</f>
        <v>0.0</v>
      </c>
      <c r="E28" s="120">
        <f>'10.Grain Production details'!E82</f>
        <v>0.0</v>
      </c>
      <c r="F28" s="120">
        <f>'10.Grain Production details'!F82</f>
        <v>0.0</v>
      </c>
      <c r="G28" s="120">
        <f>'10.Grain Production details'!G82</f>
        <v>0.0</v>
      </c>
      <c r="H28" s="120">
        <f>'10.Grain Production details'!H82</f>
        <v>0.0</v>
      </c>
    </row>
    <row r="29" spans="8:8">
      <c r="A29" s="120">
        <f>'10.Grain Production details'!A83</f>
        <v>0.0</v>
      </c>
      <c r="B29" s="120">
        <f>'10.Grain Production details'!B83</f>
        <v>0.0</v>
      </c>
      <c r="C29" s="120">
        <f>'10.Grain Production details'!C83</f>
        <v>0.0</v>
      </c>
      <c r="D29" s="120">
        <f>'10.Grain Production details'!D83</f>
        <v>0.0</v>
      </c>
      <c r="E29" s="120">
        <f>'10.Grain Production details'!E83</f>
        <v>0.0</v>
      </c>
      <c r="F29" s="120">
        <f>'10.Grain Production details'!F83</f>
        <v>0.0</v>
      </c>
      <c r="G29" s="120">
        <f>'10.Grain Production details'!G83</f>
        <v>0.0</v>
      </c>
      <c r="H29" s="120">
        <f>'10.Grain Production details'!H83</f>
        <v>0.0</v>
      </c>
    </row>
    <row r="30" spans="8:8">
      <c r="A30" s="120" t="str">
        <f>'10.Grain Production details'!A84</f>
        <v>Groundnut</v>
      </c>
      <c r="B30" s="120">
        <f>'10.Grain Production details'!B84</f>
        <v>0.0</v>
      </c>
      <c r="C30" s="120">
        <f>'10.Grain Production details'!C84</f>
        <v>0.0</v>
      </c>
      <c r="D30" s="120">
        <f>'10.Grain Production details'!D84</f>
        <v>0.0</v>
      </c>
      <c r="E30" s="120">
        <f>'10.Grain Production details'!E84</f>
        <v>0.0</v>
      </c>
      <c r="F30" s="120">
        <f>'10.Grain Production details'!F84</f>
        <v>0.0</v>
      </c>
      <c r="G30" s="120">
        <f>'10.Grain Production details'!G84</f>
        <v>0.0</v>
      </c>
      <c r="H30" s="120">
        <f>'10.Grain Production details'!H84</f>
        <v>0.0</v>
      </c>
    </row>
    <row r="31" spans="8:8">
      <c r="A31" s="120">
        <f>'10.Grain Production details'!A85</f>
        <v>0.0</v>
      </c>
      <c r="B31" s="120">
        <f>'10.Grain Production details'!B85</f>
        <v>0.0</v>
      </c>
      <c r="C31" s="120">
        <f>'10.Grain Production details'!C85</f>
        <v>0.0</v>
      </c>
      <c r="D31" s="120">
        <f>'10.Grain Production details'!D85</f>
        <v>0.0</v>
      </c>
      <c r="E31" s="120">
        <f>'10.Grain Production details'!E85</f>
        <v>0.0</v>
      </c>
      <c r="F31" s="120">
        <f>'10.Grain Production details'!F85</f>
        <v>0.0</v>
      </c>
      <c r="G31" s="120">
        <f>'10.Grain Production details'!G85</f>
        <v>0.0</v>
      </c>
      <c r="H31" s="120">
        <f>'10.Grain Production details'!H85</f>
        <v>0.0</v>
      </c>
    </row>
    <row r="32" spans="8:8">
      <c r="A32" s="120" t="s">
        <v>474</v>
      </c>
      <c r="B32" s="120">
        <f>SUM(B13:B31)</f>
        <v>0.0</v>
      </c>
      <c r="C32" s="120">
        <f t="shared" si="1" ref="C32:H32">SUM(C13:C31)</f>
        <v>0.0</v>
      </c>
      <c r="D32" s="120">
        <f t="shared" si="1"/>
        <v>0.0</v>
      </c>
      <c r="E32" s="120">
        <f t="shared" si="1"/>
        <v>0.0</v>
      </c>
      <c r="F32" s="120">
        <f t="shared" si="1"/>
        <v>0.0</v>
      </c>
      <c r="G32" s="120">
        <f t="shared" si="1"/>
        <v>0.0</v>
      </c>
      <c r="H32" s="120">
        <f t="shared" si="1"/>
        <v>0.0</v>
      </c>
    </row>
    <row r="33" spans="8:8">
      <c r="A33" s="446" t="s">
        <v>165</v>
      </c>
      <c r="B33" s="207">
        <v>0.5</v>
      </c>
      <c r="C33" s="207">
        <f>B33</f>
        <v>0.5</v>
      </c>
      <c r="D33" s="207">
        <f t="shared" si="2" ref="D33:H33">C33</f>
        <v>0.5</v>
      </c>
      <c r="E33" s="207">
        <f t="shared" si="2"/>
        <v>0.5</v>
      </c>
      <c r="F33" s="207">
        <f t="shared" si="2"/>
        <v>0.5</v>
      </c>
      <c r="G33" s="207">
        <f t="shared" si="2"/>
        <v>0.5</v>
      </c>
      <c r="H33" s="207">
        <f t="shared" si="2"/>
        <v>0.5</v>
      </c>
    </row>
    <row r="34" spans="8:8">
      <c r="A34" s="136" t="s">
        <v>484</v>
      </c>
      <c r="B34" s="447">
        <f>1-B33</f>
        <v>0.5</v>
      </c>
      <c r="C34" s="447">
        <f t="shared" si="3" ref="C34:H34">1-C33</f>
        <v>0.5</v>
      </c>
      <c r="D34" s="447">
        <f t="shared" si="3"/>
        <v>0.5</v>
      </c>
      <c r="E34" s="447">
        <f t="shared" si="3"/>
        <v>0.5</v>
      </c>
      <c r="F34" s="447">
        <f t="shared" si="3"/>
        <v>0.5</v>
      </c>
      <c r="G34" s="447">
        <f t="shared" si="3"/>
        <v>0.5</v>
      </c>
      <c r="H34" s="447">
        <f t="shared" si="3"/>
        <v>0.5</v>
      </c>
    </row>
    <row r="35" spans="8:8">
      <c r="A35" s="123" t="s">
        <v>165</v>
      </c>
      <c r="B35" s="440">
        <f>B32*B33</f>
        <v>0.0</v>
      </c>
      <c r="C35" s="440">
        <f t="shared" si="4" ref="C35:H35">C32*C33</f>
        <v>0.0</v>
      </c>
      <c r="D35" s="440">
        <f t="shared" si="4"/>
        <v>0.0</v>
      </c>
      <c r="E35" s="440">
        <f t="shared" si="4"/>
        <v>0.0</v>
      </c>
      <c r="F35" s="440">
        <f t="shared" si="4"/>
        <v>0.0</v>
      </c>
      <c r="G35" s="440">
        <f t="shared" si="4"/>
        <v>0.0</v>
      </c>
      <c r="H35" s="440">
        <f t="shared" si="4"/>
        <v>0.0</v>
      </c>
    </row>
    <row r="36" spans="8:8">
      <c r="A36" s="123" t="s">
        <v>166</v>
      </c>
      <c r="B36" s="124"/>
      <c r="C36" s="124"/>
      <c r="D36" s="124"/>
      <c r="E36" s="124"/>
      <c r="F36" s="124"/>
      <c r="G36" s="124"/>
      <c r="H36" s="124"/>
    </row>
    <row r="37" spans="8:8">
      <c r="A37" s="120" t="str">
        <f t="shared" si="5" ref="A37:A55">A13</f>
        <v>Soybean</v>
      </c>
      <c r="B37" s="122">
        <f t="shared" si="6" ref="B37:B55">B13*$B$34</f>
        <v>0.0</v>
      </c>
      <c r="C37" s="122">
        <f t="shared" si="7" ref="C37:H37">C13*$B$34</f>
        <v>0.0</v>
      </c>
      <c r="D37" s="122">
        <f t="shared" si="7"/>
        <v>0.0</v>
      </c>
      <c r="E37" s="122">
        <f t="shared" si="7"/>
        <v>0.0</v>
      </c>
      <c r="F37" s="122">
        <f t="shared" si="7"/>
        <v>0.0</v>
      </c>
      <c r="G37" s="122">
        <f t="shared" si="7"/>
        <v>0.0</v>
      </c>
      <c r="H37" s="122">
        <f t="shared" si="7"/>
        <v>0.0</v>
      </c>
    </row>
    <row r="38" spans="8:8">
      <c r="A38" s="120" t="str">
        <f t="shared" si="5"/>
        <v>Red Gram/Tur</v>
      </c>
      <c r="B38" s="122">
        <f t="shared" si="6"/>
        <v>0.0</v>
      </c>
      <c r="C38" s="122">
        <f t="shared" si="8" ref="C38:C55">C14*$C$34</f>
        <v>0.0</v>
      </c>
      <c r="D38" s="122">
        <f t="shared" si="9" ref="D38:D55">D14*$D$34</f>
        <v>0.0</v>
      </c>
      <c r="E38" s="122">
        <f t="shared" si="10" ref="E38:E55">E14*$E$34</f>
        <v>0.0</v>
      </c>
      <c r="F38" s="122">
        <f t="shared" si="11" ref="F38:F55">F14*$F$34</f>
        <v>0.0</v>
      </c>
      <c r="G38" s="122">
        <f t="shared" si="12" ref="G38:G55">G14*$G$34</f>
        <v>0.0</v>
      </c>
      <c r="H38" s="122">
        <f t="shared" si="13" ref="H38:H55">H14*$H$34</f>
        <v>0.0</v>
      </c>
    </row>
    <row r="39" spans="8:8">
      <c r="A39" s="120" t="str">
        <f t="shared" si="5"/>
        <v>Paddy/Rice</v>
      </c>
      <c r="B39" s="122">
        <f t="shared" si="6"/>
        <v>0.0</v>
      </c>
      <c r="C39" s="122">
        <f t="shared" si="8"/>
        <v>0.0</v>
      </c>
      <c r="D39" s="122">
        <f t="shared" si="9"/>
        <v>0.0</v>
      </c>
      <c r="E39" s="122">
        <f t="shared" si="10"/>
        <v>0.0</v>
      </c>
      <c r="F39" s="122">
        <f t="shared" si="11"/>
        <v>0.0</v>
      </c>
      <c r="G39" s="122">
        <f t="shared" si="12"/>
        <v>0.0</v>
      </c>
      <c r="H39" s="122">
        <f t="shared" si="13"/>
        <v>0.0</v>
      </c>
    </row>
    <row r="40" spans="8:8">
      <c r="A40" s="120" t="str">
        <f t="shared" si="5"/>
        <v>Green Gram/ Moong</v>
      </c>
      <c r="B40" s="122">
        <f t="shared" si="6"/>
        <v>0.0</v>
      </c>
      <c r="C40" s="122">
        <f t="shared" si="8"/>
        <v>0.0</v>
      </c>
      <c r="D40" s="122">
        <f t="shared" si="9"/>
        <v>0.0</v>
      </c>
      <c r="E40" s="122">
        <f t="shared" si="10"/>
        <v>0.0</v>
      </c>
      <c r="F40" s="122">
        <f t="shared" si="11"/>
        <v>0.0</v>
      </c>
      <c r="G40" s="122">
        <f t="shared" si="12"/>
        <v>0.0</v>
      </c>
      <c r="H40" s="122">
        <f t="shared" si="13"/>
        <v>0.0</v>
      </c>
    </row>
    <row r="41" spans="8:8">
      <c r="A41" s="120" t="str">
        <f t="shared" si="5"/>
        <v>Maize</v>
      </c>
      <c r="B41" s="122">
        <f t="shared" si="6"/>
        <v>0.0</v>
      </c>
      <c r="C41" s="122">
        <f t="shared" si="8"/>
        <v>0.0</v>
      </c>
      <c r="D41" s="122">
        <f t="shared" si="9"/>
        <v>0.0</v>
      </c>
      <c r="E41" s="122">
        <f t="shared" si="10"/>
        <v>0.0</v>
      </c>
      <c r="F41" s="122">
        <f t="shared" si="11"/>
        <v>0.0</v>
      </c>
      <c r="G41" s="122">
        <f t="shared" si="12"/>
        <v>0.0</v>
      </c>
      <c r="H41" s="122">
        <f t="shared" si="13"/>
        <v>0.0</v>
      </c>
    </row>
    <row r="42" spans="8:8">
      <c r="A42" s="120" t="str">
        <f t="shared" si="5"/>
        <v>Black Gram/Udid</v>
      </c>
      <c r="B42" s="122">
        <f t="shared" si="6"/>
        <v>0.0</v>
      </c>
      <c r="C42" s="122">
        <f t="shared" si="8"/>
        <v>0.0</v>
      </c>
      <c r="D42" s="122">
        <f t="shared" si="9"/>
        <v>0.0</v>
      </c>
      <c r="E42" s="122">
        <f t="shared" si="10"/>
        <v>0.0</v>
      </c>
      <c r="F42" s="122">
        <f t="shared" si="11"/>
        <v>0.0</v>
      </c>
      <c r="G42" s="122">
        <f t="shared" si="12"/>
        <v>0.0</v>
      </c>
      <c r="H42" s="122">
        <f t="shared" si="13"/>
        <v>0.0</v>
      </c>
    </row>
    <row r="43" spans="8:8">
      <c r="A43" s="120" t="str">
        <f t="shared" si="5"/>
        <v>Bajra</v>
      </c>
      <c r="B43" s="122">
        <f t="shared" si="6"/>
        <v>0.0</v>
      </c>
      <c r="C43" s="122">
        <f t="shared" si="8"/>
        <v>0.0</v>
      </c>
      <c r="D43" s="122">
        <f t="shared" si="9"/>
        <v>0.0</v>
      </c>
      <c r="E43" s="122">
        <f t="shared" si="10"/>
        <v>0.0</v>
      </c>
      <c r="F43" s="122">
        <f t="shared" si="11"/>
        <v>0.0</v>
      </c>
      <c r="G43" s="122">
        <f t="shared" si="12"/>
        <v>0.0</v>
      </c>
      <c r="H43" s="122">
        <f t="shared" si="13"/>
        <v>0.0</v>
      </c>
    </row>
    <row r="44" spans="8:8">
      <c r="A44" s="120" t="str">
        <f t="shared" si="5"/>
        <v>Jawar</v>
      </c>
      <c r="B44" s="122">
        <f t="shared" si="6"/>
        <v>0.0</v>
      </c>
      <c r="C44" s="122">
        <f t="shared" si="8"/>
        <v>0.0</v>
      </c>
      <c r="D44" s="122">
        <f t="shared" si="9"/>
        <v>0.0</v>
      </c>
      <c r="E44" s="122">
        <f t="shared" si="10"/>
        <v>0.0</v>
      </c>
      <c r="F44" s="122">
        <f t="shared" si="11"/>
        <v>0.0</v>
      </c>
      <c r="G44" s="122">
        <f t="shared" si="12"/>
        <v>0.0</v>
      </c>
      <c r="H44" s="122">
        <f t="shared" si="13"/>
        <v>0.0</v>
      </c>
    </row>
    <row r="45" spans="8:8">
      <c r="A45" s="120" t="str">
        <f t="shared" si="5"/>
        <v>Sunflower</v>
      </c>
      <c r="B45" s="122">
        <f t="shared" si="6"/>
        <v>0.0</v>
      </c>
      <c r="C45" s="122">
        <f t="shared" si="8"/>
        <v>0.0</v>
      </c>
      <c r="D45" s="122">
        <f t="shared" si="9"/>
        <v>0.0</v>
      </c>
      <c r="E45" s="122">
        <f t="shared" si="10"/>
        <v>0.0</v>
      </c>
      <c r="F45" s="122">
        <f t="shared" si="11"/>
        <v>0.0</v>
      </c>
      <c r="G45" s="122">
        <f t="shared" si="12"/>
        <v>0.0</v>
      </c>
      <c r="H45" s="122">
        <f t="shared" si="13"/>
        <v>0.0</v>
      </c>
    </row>
    <row r="46" spans="8:8">
      <c r="A46" s="120" t="str">
        <f t="shared" si="5"/>
        <v>Wheat</v>
      </c>
      <c r="B46" s="122">
        <f t="shared" si="6"/>
        <v>0.0</v>
      </c>
      <c r="C46" s="122">
        <f t="shared" si="8"/>
        <v>0.0</v>
      </c>
      <c r="D46" s="122">
        <f t="shared" si="9"/>
        <v>0.0</v>
      </c>
      <c r="E46" s="122">
        <f t="shared" si="10"/>
        <v>0.0</v>
      </c>
      <c r="F46" s="122">
        <f t="shared" si="11"/>
        <v>0.0</v>
      </c>
      <c r="G46" s="122">
        <f t="shared" si="12"/>
        <v>0.0</v>
      </c>
      <c r="H46" s="122">
        <f t="shared" si="13"/>
        <v>0.0</v>
      </c>
    </row>
    <row r="47" spans="8:8">
      <c r="A47" s="120" t="str">
        <f t="shared" si="5"/>
        <v>Bengal Gram/Channa</v>
      </c>
      <c r="B47" s="122">
        <f t="shared" si="6"/>
        <v>0.0</v>
      </c>
      <c r="C47" s="122">
        <f t="shared" si="8"/>
        <v>0.0</v>
      </c>
      <c r="D47" s="122">
        <f t="shared" si="9"/>
        <v>0.0</v>
      </c>
      <c r="E47" s="122">
        <f t="shared" si="10"/>
        <v>0.0</v>
      </c>
      <c r="F47" s="122">
        <f t="shared" si="11"/>
        <v>0.0</v>
      </c>
      <c r="G47" s="122">
        <f t="shared" si="12"/>
        <v>0.0</v>
      </c>
      <c r="H47" s="122">
        <f t="shared" si="13"/>
        <v>0.0</v>
      </c>
    </row>
    <row r="48" spans="8:8">
      <c r="A48" s="120" t="str">
        <f t="shared" si="5"/>
        <v>Jawar</v>
      </c>
      <c r="B48" s="122">
        <f t="shared" si="6"/>
        <v>0.0</v>
      </c>
      <c r="C48" s="122">
        <f t="shared" si="8"/>
        <v>0.0</v>
      </c>
      <c r="D48" s="122">
        <f t="shared" si="9"/>
        <v>0.0</v>
      </c>
      <c r="E48" s="122">
        <f t="shared" si="10"/>
        <v>0.0</v>
      </c>
      <c r="F48" s="122">
        <f t="shared" si="11"/>
        <v>0.0</v>
      </c>
      <c r="G48" s="122">
        <f t="shared" si="12"/>
        <v>0.0</v>
      </c>
      <c r="H48" s="122">
        <f t="shared" si="13"/>
        <v>0.0</v>
      </c>
    </row>
    <row r="49" spans="8:8">
      <c r="A49" s="120" t="str">
        <f t="shared" si="5"/>
        <v>Maize</v>
      </c>
      <c r="B49" s="122">
        <f t="shared" si="6"/>
        <v>0.0</v>
      </c>
      <c r="C49" s="122">
        <f t="shared" si="8"/>
        <v>0.0</v>
      </c>
      <c r="D49" s="122">
        <f t="shared" si="9"/>
        <v>0.0</v>
      </c>
      <c r="E49" s="122">
        <f t="shared" si="10"/>
        <v>0.0</v>
      </c>
      <c r="F49" s="122">
        <f t="shared" si="11"/>
        <v>0.0</v>
      </c>
      <c r="G49" s="122">
        <f t="shared" si="12"/>
        <v>0.0</v>
      </c>
      <c r="H49" s="122">
        <f t="shared" si="13"/>
        <v>0.0</v>
      </c>
    </row>
    <row r="50" spans="8:8">
      <c r="A50" s="120" t="str">
        <f t="shared" si="5"/>
        <v>Safflower</v>
      </c>
      <c r="B50" s="122">
        <f t="shared" si="6"/>
        <v>0.0</v>
      </c>
      <c r="C50" s="122">
        <f t="shared" si="8"/>
        <v>0.0</v>
      </c>
      <c r="D50" s="122">
        <f t="shared" si="9"/>
        <v>0.0</v>
      </c>
      <c r="E50" s="122">
        <f t="shared" si="10"/>
        <v>0.0</v>
      </c>
      <c r="F50" s="122">
        <f t="shared" si="11"/>
        <v>0.0</v>
      </c>
      <c r="G50" s="122">
        <f t="shared" si="12"/>
        <v>0.0</v>
      </c>
      <c r="H50" s="122">
        <f t="shared" si="13"/>
        <v>0.0</v>
      </c>
    </row>
    <row r="51" spans="8:8">
      <c r="A51" s="120">
        <f t="shared" si="5"/>
        <v>0.0</v>
      </c>
      <c r="B51" s="122">
        <f t="shared" si="6"/>
        <v>0.0</v>
      </c>
      <c r="C51" s="122">
        <f t="shared" si="8"/>
        <v>0.0</v>
      </c>
      <c r="D51" s="122">
        <f t="shared" si="9"/>
        <v>0.0</v>
      </c>
      <c r="E51" s="122">
        <f t="shared" si="10"/>
        <v>0.0</v>
      </c>
      <c r="F51" s="122">
        <f t="shared" si="11"/>
        <v>0.0</v>
      </c>
      <c r="G51" s="122">
        <f t="shared" si="12"/>
        <v>0.0</v>
      </c>
      <c r="H51" s="122">
        <f t="shared" si="13"/>
        <v>0.0</v>
      </c>
    </row>
    <row r="52" spans="8:8">
      <c r="A52" s="120">
        <f t="shared" si="5"/>
        <v>0.0</v>
      </c>
      <c r="B52" s="122">
        <f t="shared" si="6"/>
        <v>0.0</v>
      </c>
      <c r="C52" s="122">
        <f t="shared" si="8"/>
        <v>0.0</v>
      </c>
      <c r="D52" s="122">
        <f t="shared" si="9"/>
        <v>0.0</v>
      </c>
      <c r="E52" s="122">
        <f t="shared" si="10"/>
        <v>0.0</v>
      </c>
      <c r="F52" s="122">
        <f t="shared" si="11"/>
        <v>0.0</v>
      </c>
      <c r="G52" s="122">
        <f t="shared" si="12"/>
        <v>0.0</v>
      </c>
      <c r="H52" s="122">
        <f t="shared" si="13"/>
        <v>0.0</v>
      </c>
    </row>
    <row r="53" spans="8:8">
      <c r="A53" s="120">
        <f t="shared" si="5"/>
        <v>0.0</v>
      </c>
      <c r="B53" s="122">
        <f t="shared" si="6"/>
        <v>0.0</v>
      </c>
      <c r="C53" s="122">
        <f t="shared" si="8"/>
        <v>0.0</v>
      </c>
      <c r="D53" s="122">
        <f t="shared" si="9"/>
        <v>0.0</v>
      </c>
      <c r="E53" s="122">
        <f t="shared" si="10"/>
        <v>0.0</v>
      </c>
      <c r="F53" s="122">
        <f t="shared" si="11"/>
        <v>0.0</v>
      </c>
      <c r="G53" s="122">
        <f t="shared" si="12"/>
        <v>0.0</v>
      </c>
      <c r="H53" s="122">
        <f t="shared" si="13"/>
        <v>0.0</v>
      </c>
    </row>
    <row r="54" spans="8:8">
      <c r="A54" s="120" t="str">
        <f t="shared" si="5"/>
        <v>Groundnut</v>
      </c>
      <c r="B54" s="122">
        <f t="shared" si="6"/>
        <v>0.0</v>
      </c>
      <c r="C54" s="122">
        <f t="shared" si="8"/>
        <v>0.0</v>
      </c>
      <c r="D54" s="122">
        <f t="shared" si="9"/>
        <v>0.0</v>
      </c>
      <c r="E54" s="122">
        <f t="shared" si="10"/>
        <v>0.0</v>
      </c>
      <c r="F54" s="122">
        <f t="shared" si="11"/>
        <v>0.0</v>
      </c>
      <c r="G54" s="122">
        <f t="shared" si="12"/>
        <v>0.0</v>
      </c>
      <c r="H54" s="122">
        <f t="shared" si="13"/>
        <v>0.0</v>
      </c>
    </row>
    <row r="55" spans="8:8">
      <c r="A55" s="120">
        <f t="shared" si="5"/>
        <v>0.0</v>
      </c>
      <c r="B55" s="122">
        <f t="shared" si="6"/>
        <v>0.0</v>
      </c>
      <c r="C55" s="122">
        <f t="shared" si="8"/>
        <v>0.0</v>
      </c>
      <c r="D55" s="122">
        <f t="shared" si="9"/>
        <v>0.0</v>
      </c>
      <c r="E55" s="122">
        <f t="shared" si="10"/>
        <v>0.0</v>
      </c>
      <c r="F55" s="122">
        <f t="shared" si="11"/>
        <v>0.0</v>
      </c>
      <c r="G55" s="122">
        <f t="shared" si="12"/>
        <v>0.0</v>
      </c>
      <c r="H55" s="122">
        <f t="shared" si="13"/>
        <v>0.0</v>
      </c>
    </row>
    <row r="56" spans="8:8">
      <c r="A56" s="120"/>
      <c r="B56" s="120"/>
      <c r="C56" s="120"/>
      <c r="D56" s="120"/>
      <c r="E56" s="120"/>
      <c r="F56" s="120"/>
      <c r="G56" s="120"/>
      <c r="H56" s="120"/>
    </row>
    <row r="57" spans="8:8">
      <c r="A57" s="123" t="s">
        <v>287</v>
      </c>
      <c r="B57" s="120"/>
      <c r="C57" s="120"/>
      <c r="D57" s="120"/>
      <c r="E57" s="120"/>
      <c r="F57" s="120"/>
      <c r="G57" s="120"/>
      <c r="H57" s="120"/>
    </row>
    <row r="58" spans="8:8">
      <c r="A58" s="120" t="str">
        <f>A37</f>
        <v>Soybean</v>
      </c>
      <c r="B58" s="120"/>
      <c r="C58" s="120"/>
      <c r="D58" s="120"/>
      <c r="E58" s="120"/>
      <c r="F58" s="120"/>
      <c r="G58" s="120"/>
      <c r="H58" s="120"/>
    </row>
    <row r="59" spans="8:8">
      <c r="A59" s="120"/>
      <c r="B59" s="120"/>
      <c r="C59" s="120"/>
      <c r="D59" s="120"/>
      <c r="E59" s="120"/>
      <c r="F59" s="120"/>
      <c r="G59" s="120"/>
      <c r="H59" s="120"/>
    </row>
    <row r="60" spans="8:8">
      <c r="A60" s="120"/>
      <c r="B60" s="120"/>
      <c r="C60" s="120"/>
      <c r="D60" s="120"/>
      <c r="E60" s="120"/>
      <c r="F60" s="120"/>
      <c r="G60" s="120"/>
      <c r="H60" s="120"/>
    </row>
    <row r="61" spans="8:8">
      <c r="A61" s="120"/>
      <c r="B61" s="120"/>
      <c r="C61" s="120"/>
      <c r="D61" s="120"/>
      <c r="E61" s="120"/>
      <c r="F61" s="120"/>
      <c r="G61" s="120"/>
      <c r="H61" s="120"/>
    </row>
    <row r="62" spans="8:8">
      <c r="A62" s="120" t="str">
        <f>A38</f>
        <v>Red Gram/Tur</v>
      </c>
      <c r="B62" s="448"/>
      <c r="C62" s="448"/>
      <c r="D62" s="448"/>
      <c r="E62" s="448"/>
      <c r="F62" s="448"/>
      <c r="G62" s="448"/>
      <c r="H62" s="448"/>
    </row>
    <row r="63" spans="8:8">
      <c r="A63" s="120" t="s">
        <v>475</v>
      </c>
      <c r="B63" s="448">
        <f>B38*80%</f>
        <v>0.0</v>
      </c>
      <c r="C63" s="448">
        <f t="shared" si="14" ref="C63:H63">C38*80%</f>
        <v>0.0</v>
      </c>
      <c r="D63" s="448">
        <f t="shared" si="14"/>
        <v>0.0</v>
      </c>
      <c r="E63" s="448">
        <f t="shared" si="14"/>
        <v>0.0</v>
      </c>
      <c r="F63" s="448">
        <f t="shared" si="14"/>
        <v>0.0</v>
      </c>
      <c r="G63" s="448">
        <f t="shared" si="14"/>
        <v>0.0</v>
      </c>
      <c r="H63" s="448">
        <f t="shared" si="14"/>
        <v>0.0</v>
      </c>
    </row>
    <row r="64" spans="8:8">
      <c r="A64" s="120" t="s">
        <v>142</v>
      </c>
      <c r="B64" s="448">
        <f>B38*20%</f>
        <v>0.0</v>
      </c>
      <c r="C64" s="448">
        <f t="shared" si="15" ref="C64:H64">C38*20%</f>
        <v>0.0</v>
      </c>
      <c r="D64" s="448">
        <f t="shared" si="15"/>
        <v>0.0</v>
      </c>
      <c r="E64" s="448">
        <f t="shared" si="15"/>
        <v>0.0</v>
      </c>
      <c r="F64" s="448">
        <f t="shared" si="15"/>
        <v>0.0</v>
      </c>
      <c r="G64" s="448">
        <f t="shared" si="15"/>
        <v>0.0</v>
      </c>
      <c r="H64" s="448">
        <f t="shared" si="15"/>
        <v>0.0</v>
      </c>
    </row>
    <row r="65" spans="8:8">
      <c r="A65" s="120" t="str">
        <f>A39</f>
        <v>Paddy/Rice</v>
      </c>
      <c r="B65" s="122"/>
      <c r="C65" s="122"/>
      <c r="D65" s="122"/>
      <c r="E65" s="122"/>
      <c r="F65" s="122"/>
      <c r="G65" s="122"/>
      <c r="H65" s="122"/>
    </row>
    <row r="66" spans="8:8">
      <c r="A66" s="120"/>
      <c r="B66" s="122"/>
      <c r="C66" s="122"/>
      <c r="D66" s="122"/>
      <c r="E66" s="122"/>
      <c r="F66" s="122"/>
      <c r="G66" s="122"/>
      <c r="H66" s="122"/>
    </row>
    <row r="67" spans="8:8">
      <c r="A67" s="120"/>
      <c r="B67" s="122"/>
      <c r="C67" s="122"/>
      <c r="D67" s="122"/>
      <c r="E67" s="122"/>
      <c r="F67" s="122"/>
      <c r="G67" s="122"/>
      <c r="H67" s="122"/>
    </row>
    <row r="68" spans="8:8">
      <c r="A68" s="120"/>
      <c r="B68" s="122"/>
      <c r="C68" s="122"/>
      <c r="D68" s="122"/>
      <c r="E68" s="122"/>
      <c r="F68" s="122"/>
      <c r="G68" s="122"/>
      <c r="H68" s="122"/>
    </row>
    <row r="69" spans="8:8">
      <c r="A69" s="120" t="str">
        <f>A40</f>
        <v>Green Gram/ Moong</v>
      </c>
      <c r="B69" s="122"/>
      <c r="C69" s="122"/>
      <c r="D69" s="122"/>
      <c r="E69" s="122"/>
      <c r="F69" s="122"/>
      <c r="G69" s="122"/>
      <c r="H69" s="122"/>
    </row>
    <row r="70" spans="8:8">
      <c r="A70" s="120" t="s">
        <v>475</v>
      </c>
      <c r="B70" s="122">
        <f>B40*80%</f>
        <v>0.0</v>
      </c>
      <c r="C70" s="122">
        <f t="shared" si="16" ref="C70:H70">C40*80%</f>
        <v>0.0</v>
      </c>
      <c r="D70" s="122">
        <f t="shared" si="16"/>
        <v>0.0</v>
      </c>
      <c r="E70" s="122">
        <f t="shared" si="16"/>
        <v>0.0</v>
      </c>
      <c r="F70" s="122">
        <f t="shared" si="16"/>
        <v>0.0</v>
      </c>
      <c r="G70" s="122">
        <f t="shared" si="16"/>
        <v>0.0</v>
      </c>
      <c r="H70" s="122">
        <f t="shared" si="16"/>
        <v>0.0</v>
      </c>
    </row>
    <row r="71" spans="8:8">
      <c r="A71" s="120" t="s">
        <v>142</v>
      </c>
      <c r="B71" s="122">
        <f>B40*20%</f>
        <v>0.0</v>
      </c>
      <c r="C71" s="122">
        <f t="shared" si="17" ref="C71:H71">C40*20%</f>
        <v>0.0</v>
      </c>
      <c r="D71" s="122">
        <f t="shared" si="17"/>
        <v>0.0</v>
      </c>
      <c r="E71" s="122">
        <f t="shared" si="17"/>
        <v>0.0</v>
      </c>
      <c r="F71" s="122">
        <f t="shared" si="17"/>
        <v>0.0</v>
      </c>
      <c r="G71" s="122">
        <f t="shared" si="17"/>
        <v>0.0</v>
      </c>
      <c r="H71" s="122">
        <f t="shared" si="17"/>
        <v>0.0</v>
      </c>
    </row>
    <row r="72" spans="8:8">
      <c r="A72" s="120" t="str">
        <f>A41</f>
        <v>Maize</v>
      </c>
      <c r="B72" s="122"/>
      <c r="C72" s="122"/>
      <c r="D72" s="122"/>
      <c r="E72" s="122"/>
      <c r="F72" s="122"/>
      <c r="G72" s="122"/>
      <c r="H72" s="122"/>
    </row>
    <row r="73" spans="8:8">
      <c r="A73" s="120"/>
      <c r="B73" s="122"/>
      <c r="C73" s="122"/>
      <c r="D73" s="122"/>
      <c r="E73" s="122"/>
      <c r="F73" s="122"/>
      <c r="G73" s="122"/>
      <c r="H73" s="122"/>
    </row>
    <row r="74" spans="8:8">
      <c r="A74" s="120"/>
      <c r="B74" s="122"/>
      <c r="C74" s="122"/>
      <c r="D74" s="122"/>
      <c r="E74" s="122"/>
      <c r="F74" s="122"/>
      <c r="G74" s="122"/>
      <c r="H74" s="122"/>
    </row>
    <row r="75" spans="8:8">
      <c r="A75" s="120"/>
      <c r="B75" s="122"/>
      <c r="C75" s="122"/>
      <c r="D75" s="122"/>
      <c r="E75" s="122"/>
      <c r="F75" s="122"/>
      <c r="G75" s="122"/>
      <c r="H75" s="122"/>
    </row>
    <row r="76" spans="8:8">
      <c r="A76" s="120"/>
      <c r="B76" s="122"/>
      <c r="C76" s="122"/>
      <c r="D76" s="122"/>
      <c r="E76" s="122"/>
      <c r="F76" s="122"/>
      <c r="G76" s="122"/>
      <c r="H76" s="122"/>
    </row>
    <row r="77" spans="8:8">
      <c r="A77" s="120" t="str">
        <f>A42</f>
        <v>Black Gram/Udid</v>
      </c>
      <c r="B77" s="122"/>
      <c r="C77" s="122"/>
      <c r="D77" s="122"/>
      <c r="E77" s="122"/>
      <c r="F77" s="122"/>
      <c r="G77" s="122"/>
      <c r="H77" s="122"/>
    </row>
    <row r="78" spans="8:8">
      <c r="A78" s="120" t="s">
        <v>475</v>
      </c>
      <c r="B78" s="122">
        <f t="shared" si="18" ref="B78:H78">B42*80%</f>
        <v>0.0</v>
      </c>
      <c r="C78" s="122">
        <f t="shared" si="18"/>
        <v>0.0</v>
      </c>
      <c r="D78" s="122">
        <f t="shared" si="18"/>
        <v>0.0</v>
      </c>
      <c r="E78" s="122">
        <f t="shared" si="18"/>
        <v>0.0</v>
      </c>
      <c r="F78" s="122">
        <f t="shared" si="18"/>
        <v>0.0</v>
      </c>
      <c r="G78" s="122">
        <f t="shared" si="18"/>
        <v>0.0</v>
      </c>
      <c r="H78" s="122">
        <f t="shared" si="18"/>
        <v>0.0</v>
      </c>
    </row>
    <row r="79" spans="8:8">
      <c r="A79" s="120" t="s">
        <v>142</v>
      </c>
      <c r="B79" s="122">
        <f t="shared" si="19" ref="B79:H79">B42*20%</f>
        <v>0.0</v>
      </c>
      <c r="C79" s="122">
        <f t="shared" si="19"/>
        <v>0.0</v>
      </c>
      <c r="D79" s="122">
        <f t="shared" si="19"/>
        <v>0.0</v>
      </c>
      <c r="E79" s="122">
        <f t="shared" si="19"/>
        <v>0.0</v>
      </c>
      <c r="F79" s="122">
        <f t="shared" si="19"/>
        <v>0.0</v>
      </c>
      <c r="G79" s="122">
        <f t="shared" si="19"/>
        <v>0.0</v>
      </c>
      <c r="H79" s="122">
        <f t="shared" si="19"/>
        <v>0.0</v>
      </c>
    </row>
    <row r="80" spans="8:8">
      <c r="A80" s="120" t="str">
        <f>A43</f>
        <v>Bajra</v>
      </c>
      <c r="B80" s="122"/>
      <c r="C80" s="122"/>
      <c r="D80" s="122"/>
      <c r="E80" s="122"/>
      <c r="F80" s="122"/>
      <c r="G80" s="122"/>
      <c r="H80" s="122"/>
    </row>
    <row r="81" spans="8:8">
      <c r="A81" s="120"/>
      <c r="B81" s="122"/>
      <c r="C81" s="122"/>
      <c r="D81" s="122"/>
      <c r="E81" s="122"/>
      <c r="F81" s="122"/>
      <c r="G81" s="122"/>
      <c r="H81" s="122"/>
    </row>
    <row r="82" spans="8:8">
      <c r="A82" s="120"/>
      <c r="B82" s="122"/>
      <c r="C82" s="122"/>
      <c r="D82" s="122"/>
      <c r="E82" s="122"/>
      <c r="F82" s="122"/>
      <c r="G82" s="122"/>
      <c r="H82" s="122"/>
    </row>
    <row r="83" spans="8:8">
      <c r="A83" s="120" t="str">
        <f>A44</f>
        <v>Jawar</v>
      </c>
      <c r="B83" s="122"/>
      <c r="C83" s="122"/>
      <c r="D83" s="122"/>
      <c r="E83" s="122"/>
      <c r="F83" s="122"/>
      <c r="G83" s="122"/>
      <c r="H83" s="122"/>
    </row>
    <row r="84" spans="8:8">
      <c r="A84" s="120"/>
      <c r="B84" s="122"/>
      <c r="C84" s="122"/>
      <c r="D84" s="122"/>
      <c r="E84" s="122"/>
      <c r="F84" s="122"/>
      <c r="G84" s="122"/>
      <c r="H84" s="122"/>
    </row>
    <row r="85" spans="8:8">
      <c r="A85" s="120"/>
      <c r="B85" s="122"/>
      <c r="C85" s="122"/>
      <c r="D85" s="122"/>
      <c r="E85" s="122"/>
      <c r="F85" s="122"/>
      <c r="G85" s="122"/>
      <c r="H85" s="122"/>
    </row>
    <row r="86" spans="8:8">
      <c r="A86" s="120"/>
      <c r="B86" s="122"/>
      <c r="C86" s="122"/>
      <c r="D86" s="122"/>
      <c r="E86" s="122"/>
      <c r="F86" s="122"/>
      <c r="G86" s="122"/>
      <c r="H86" s="122"/>
    </row>
    <row r="87" spans="8:8">
      <c r="A87" s="120" t="str">
        <f>A45</f>
        <v>Sunflower</v>
      </c>
      <c r="B87" s="122"/>
      <c r="C87" s="122"/>
      <c r="D87" s="122"/>
      <c r="E87" s="122"/>
      <c r="F87" s="122"/>
      <c r="G87" s="122"/>
      <c r="H87" s="122"/>
    </row>
    <row r="88" spans="8:8">
      <c r="A88" s="120"/>
      <c r="B88" s="122"/>
      <c r="C88" s="122"/>
      <c r="D88" s="122"/>
      <c r="E88" s="122"/>
      <c r="F88" s="122"/>
      <c r="G88" s="122"/>
      <c r="H88" s="122"/>
    </row>
    <row r="89" spans="8:8">
      <c r="A89" s="120"/>
      <c r="B89" s="122"/>
      <c r="C89" s="122"/>
      <c r="D89" s="122"/>
      <c r="E89" s="122"/>
      <c r="F89" s="122"/>
      <c r="G89" s="122"/>
      <c r="H89" s="122"/>
    </row>
    <row r="90" spans="8:8">
      <c r="A90" s="120"/>
      <c r="B90" s="122"/>
      <c r="C90" s="122"/>
      <c r="D90" s="122"/>
      <c r="E90" s="122"/>
      <c r="F90" s="122"/>
      <c r="G90" s="122"/>
      <c r="H90" s="122"/>
    </row>
    <row r="91" spans="8:8">
      <c r="A91" s="120" t="str">
        <f>A46</f>
        <v>Wheat</v>
      </c>
      <c r="B91" s="122"/>
      <c r="C91" s="122"/>
      <c r="D91" s="122"/>
      <c r="E91" s="122"/>
      <c r="F91" s="122"/>
      <c r="G91" s="122"/>
      <c r="H91" s="122"/>
    </row>
    <row r="92" spans="8:8">
      <c r="A92" s="120"/>
      <c r="B92" s="122"/>
      <c r="C92" s="122"/>
      <c r="D92" s="122"/>
      <c r="E92" s="122"/>
      <c r="F92" s="122"/>
      <c r="G92" s="122"/>
      <c r="H92" s="122"/>
    </row>
    <row r="93" spans="8:8">
      <c r="A93" s="120"/>
      <c r="B93" s="122"/>
      <c r="C93" s="122"/>
      <c r="D93" s="122"/>
      <c r="E93" s="122"/>
      <c r="F93" s="122"/>
      <c r="G93" s="122"/>
      <c r="H93" s="122"/>
    </row>
    <row r="94" spans="8:8">
      <c r="A94" s="120" t="str">
        <f>A47</f>
        <v>Bengal Gram/Channa</v>
      </c>
      <c r="B94" s="122"/>
      <c r="C94" s="122"/>
      <c r="D94" s="122"/>
      <c r="E94" s="122"/>
      <c r="F94" s="122"/>
      <c r="G94" s="122"/>
      <c r="H94" s="122"/>
    </row>
    <row r="95" spans="8:8">
      <c r="A95" s="120" t="s">
        <v>475</v>
      </c>
      <c r="B95" s="122">
        <f t="shared" si="20" ref="B95:H95">B47*80%</f>
        <v>0.0</v>
      </c>
      <c r="C95" s="122">
        <f t="shared" si="20"/>
        <v>0.0</v>
      </c>
      <c r="D95" s="122">
        <f t="shared" si="20"/>
        <v>0.0</v>
      </c>
      <c r="E95" s="122">
        <f t="shared" si="20"/>
        <v>0.0</v>
      </c>
      <c r="F95" s="122">
        <f t="shared" si="20"/>
        <v>0.0</v>
      </c>
      <c r="G95" s="122">
        <f t="shared" si="20"/>
        <v>0.0</v>
      </c>
      <c r="H95" s="122">
        <f t="shared" si="20"/>
        <v>0.0</v>
      </c>
    </row>
    <row r="96" spans="8:8">
      <c r="A96" s="120" t="s">
        <v>142</v>
      </c>
      <c r="B96" s="122">
        <f t="shared" si="21" ref="B96:H96">B47*20%</f>
        <v>0.0</v>
      </c>
      <c r="C96" s="122">
        <f t="shared" si="21"/>
        <v>0.0</v>
      </c>
      <c r="D96" s="122">
        <f t="shared" si="21"/>
        <v>0.0</v>
      </c>
      <c r="E96" s="122">
        <f t="shared" si="21"/>
        <v>0.0</v>
      </c>
      <c r="F96" s="122">
        <f t="shared" si="21"/>
        <v>0.0</v>
      </c>
      <c r="G96" s="122">
        <f t="shared" si="21"/>
        <v>0.0</v>
      </c>
      <c r="H96" s="122">
        <f t="shared" si="21"/>
        <v>0.0</v>
      </c>
    </row>
    <row r="97" spans="8:8">
      <c r="A97" s="120" t="str">
        <f>A48</f>
        <v>Jawar</v>
      </c>
      <c r="B97" s="122"/>
      <c r="C97" s="122"/>
      <c r="D97" s="122"/>
      <c r="E97" s="122"/>
      <c r="F97" s="122"/>
      <c r="G97" s="122"/>
      <c r="H97" s="122"/>
    </row>
    <row r="98" spans="8:8">
      <c r="A98" s="120"/>
      <c r="B98" s="122"/>
      <c r="C98" s="122"/>
      <c r="D98" s="122"/>
      <c r="E98" s="122"/>
      <c r="F98" s="122"/>
      <c r="G98" s="122"/>
      <c r="H98" s="122"/>
    </row>
    <row r="99" spans="8:8">
      <c r="A99" s="120"/>
      <c r="B99" s="122"/>
      <c r="C99" s="122"/>
      <c r="D99" s="122"/>
      <c r="E99" s="122"/>
      <c r="F99" s="122"/>
      <c r="G99" s="122"/>
      <c r="H99" s="122"/>
    </row>
    <row r="100" spans="8:8">
      <c r="A100" s="120" t="str">
        <f>A49</f>
        <v>Maize</v>
      </c>
      <c r="B100" s="122"/>
      <c r="C100" s="122"/>
      <c r="D100" s="122"/>
      <c r="E100" s="122"/>
      <c r="F100" s="122"/>
      <c r="G100" s="122"/>
      <c r="H100" s="122"/>
    </row>
    <row r="101" spans="8:8">
      <c r="A101" s="120"/>
      <c r="B101" s="122"/>
      <c r="C101" s="122"/>
      <c r="D101" s="122"/>
      <c r="E101" s="122"/>
      <c r="F101" s="122"/>
      <c r="G101" s="122"/>
      <c r="H101" s="122"/>
    </row>
    <row r="102" spans="8:8">
      <c r="A102" s="120"/>
      <c r="B102" s="122"/>
      <c r="C102" s="122"/>
      <c r="D102" s="122"/>
      <c r="E102" s="122"/>
      <c r="F102" s="122"/>
      <c r="G102" s="122"/>
      <c r="H102" s="122"/>
    </row>
    <row r="103" spans="8:8">
      <c r="A103" s="120" t="str">
        <f>A50</f>
        <v>Safflower</v>
      </c>
      <c r="B103" s="122"/>
      <c r="C103" s="122"/>
      <c r="D103" s="122"/>
      <c r="E103" s="122"/>
      <c r="F103" s="122"/>
      <c r="G103" s="122"/>
      <c r="H103" s="122"/>
    </row>
    <row r="104" spans="8:8">
      <c r="A104" s="120"/>
      <c r="B104" s="122"/>
      <c r="C104" s="122"/>
      <c r="D104" s="122"/>
      <c r="E104" s="122"/>
      <c r="F104" s="122"/>
      <c r="G104" s="122"/>
      <c r="H104" s="122"/>
    </row>
    <row r="105" spans="8:8">
      <c r="A105" s="120"/>
      <c r="B105" s="122"/>
      <c r="C105" s="122"/>
      <c r="D105" s="122"/>
      <c r="E105" s="122"/>
      <c r="F105" s="122"/>
      <c r="G105" s="122"/>
      <c r="H105" s="122"/>
    </row>
    <row r="106" spans="8:8">
      <c r="A106" s="120">
        <f>A51</f>
        <v>0.0</v>
      </c>
      <c r="B106" s="122"/>
      <c r="C106" s="122"/>
      <c r="D106" s="122"/>
      <c r="E106" s="122"/>
      <c r="F106" s="122"/>
      <c r="G106" s="122"/>
      <c r="H106" s="122"/>
    </row>
    <row r="107" spans="8:8">
      <c r="A107" s="120"/>
      <c r="B107" s="122"/>
      <c r="C107" s="122"/>
      <c r="D107" s="122"/>
      <c r="E107" s="122"/>
      <c r="F107" s="122"/>
      <c r="G107" s="122"/>
      <c r="H107" s="122"/>
    </row>
    <row r="108" spans="8:8">
      <c r="A108" s="120"/>
      <c r="B108" s="122"/>
      <c r="C108" s="122"/>
      <c r="D108" s="122"/>
      <c r="E108" s="122"/>
      <c r="F108" s="122"/>
      <c r="G108" s="122"/>
      <c r="H108" s="122"/>
    </row>
    <row r="109" spans="8:8">
      <c r="A109" s="120">
        <f>A52</f>
        <v>0.0</v>
      </c>
      <c r="B109" s="122"/>
      <c r="C109" s="122"/>
      <c r="D109" s="122"/>
      <c r="E109" s="122"/>
      <c r="F109" s="122"/>
      <c r="G109" s="122"/>
      <c r="H109" s="122"/>
    </row>
    <row r="110" spans="8:8">
      <c r="A110" s="120"/>
      <c r="B110" s="122"/>
      <c r="C110" s="122"/>
      <c r="D110" s="122"/>
      <c r="E110" s="122"/>
      <c r="F110" s="122"/>
      <c r="G110" s="122"/>
      <c r="H110" s="122"/>
    </row>
    <row r="111" spans="8:8">
      <c r="A111" s="120"/>
      <c r="B111" s="122"/>
      <c r="C111" s="122"/>
      <c r="D111" s="122"/>
      <c r="E111" s="122"/>
      <c r="F111" s="122"/>
      <c r="G111" s="122"/>
      <c r="H111" s="122"/>
    </row>
    <row r="112" spans="8:8">
      <c r="A112" s="120">
        <f>A53</f>
        <v>0.0</v>
      </c>
      <c r="B112" s="122"/>
      <c r="C112" s="122"/>
      <c r="D112" s="122"/>
      <c r="E112" s="122"/>
      <c r="F112" s="122"/>
      <c r="G112" s="122"/>
      <c r="H112" s="122"/>
    </row>
    <row r="113" spans="8:8">
      <c r="A113" s="120"/>
      <c r="B113" s="122"/>
      <c r="C113" s="122"/>
      <c r="D113" s="122"/>
      <c r="E113" s="122"/>
      <c r="F113" s="122"/>
      <c r="G113" s="122"/>
      <c r="H113" s="122"/>
    </row>
    <row r="114" spans="8:8">
      <c r="A114" s="120"/>
      <c r="B114" s="122"/>
      <c r="C114" s="122"/>
      <c r="D114" s="122"/>
      <c r="E114" s="122"/>
      <c r="F114" s="122"/>
      <c r="G114" s="122"/>
      <c r="H114" s="122"/>
    </row>
    <row r="115" spans="8:8">
      <c r="A115" s="120" t="str">
        <f>A54</f>
        <v>Groundnut</v>
      </c>
      <c r="B115" s="122"/>
      <c r="C115" s="122"/>
      <c r="D115" s="122"/>
      <c r="E115" s="122"/>
      <c r="F115" s="122"/>
      <c r="G115" s="122"/>
      <c r="H115" s="122"/>
    </row>
    <row r="116" spans="8:8">
      <c r="A116" s="120"/>
      <c r="B116" s="122"/>
      <c r="C116" s="122"/>
      <c r="D116" s="122"/>
      <c r="E116" s="122"/>
      <c r="F116" s="122"/>
      <c r="G116" s="122"/>
      <c r="H116" s="122"/>
    </row>
    <row r="117" spans="8:8">
      <c r="A117" s="120"/>
      <c r="B117" s="122"/>
      <c r="C117" s="122"/>
      <c r="D117" s="122"/>
      <c r="E117" s="122"/>
      <c r="F117" s="122"/>
      <c r="G117" s="122"/>
      <c r="H117" s="122"/>
    </row>
    <row r="118" spans="8:8">
      <c r="A118" s="120">
        <f>A55</f>
        <v>0.0</v>
      </c>
      <c r="B118" s="122"/>
      <c r="C118" s="122"/>
      <c r="D118" s="122"/>
      <c r="E118" s="122"/>
      <c r="F118" s="122"/>
      <c r="G118" s="122"/>
      <c r="H118" s="122"/>
    </row>
    <row r="119" spans="8:8">
      <c r="A119" s="120"/>
      <c r="B119" s="122"/>
      <c r="C119" s="122"/>
      <c r="D119" s="122"/>
      <c r="E119" s="122"/>
      <c r="F119" s="122"/>
      <c r="G119" s="122"/>
      <c r="H119" s="122"/>
    </row>
    <row r="120" spans="8:8">
      <c r="A120" s="120"/>
      <c r="B120" s="122"/>
      <c r="C120" s="122"/>
      <c r="D120" s="122"/>
      <c r="E120" s="122"/>
      <c r="F120" s="122"/>
      <c r="G120" s="122"/>
      <c r="H120" s="122"/>
    </row>
    <row r="121" spans="8:8">
      <c r="A121" s="120">
        <f>A56</f>
        <v>0.0</v>
      </c>
      <c r="B121" s="122"/>
      <c r="C121" s="122"/>
      <c r="D121" s="122"/>
      <c r="E121" s="122"/>
      <c r="F121" s="122"/>
      <c r="G121" s="122"/>
      <c r="H121" s="122"/>
    </row>
    <row r="122" spans="8:8">
      <c r="A122" s="449"/>
      <c r="B122" s="450"/>
      <c r="C122" s="450"/>
      <c r="D122" s="450"/>
      <c r="E122" s="450"/>
      <c r="F122" s="450"/>
      <c r="G122" s="450"/>
      <c r="H122" s="450"/>
    </row>
    <row r="123" spans="8:8">
      <c r="A123" s="449"/>
      <c r="B123" s="450"/>
      <c r="C123" s="450"/>
      <c r="D123" s="450"/>
      <c r="E123" s="450"/>
      <c r="F123" s="450"/>
      <c r="G123" s="450"/>
      <c r="H123" s="450"/>
    </row>
    <row r="124" spans="8:8">
      <c r="A124" s="435" t="s">
        <v>461</v>
      </c>
      <c r="B124">
        <v>50.0</v>
      </c>
    </row>
    <row r="131" spans="8:8" ht="18.75">
      <c r="A131" s="30" t="s">
        <v>605</v>
      </c>
      <c r="B131" s="30"/>
      <c r="C131" s="30"/>
      <c r="D131" s="30"/>
      <c r="E131" s="30"/>
      <c r="F131" s="30"/>
      <c r="G131" s="30"/>
      <c r="H131" s="30"/>
      <c r="I131" s="30"/>
      <c r="J131" s="30"/>
    </row>
    <row r="132" spans="8:8">
      <c r="A132" s="451"/>
      <c r="B132" s="452"/>
      <c r="C132" s="452"/>
      <c r="D132" s="451"/>
      <c r="E132" s="451"/>
      <c r="F132" s="451"/>
      <c r="G132" s="451"/>
      <c r="H132" s="451"/>
    </row>
    <row r="133" spans="8:8">
      <c r="A133" s="453"/>
      <c r="B133" s="453"/>
      <c r="C133" s="453"/>
      <c r="D133" s="454">
        <v>1.0</v>
      </c>
      <c r="E133" s="455">
        <f>(D133*5%)+D133</f>
        <v>1.05</v>
      </c>
      <c r="F133" s="455">
        <f t="shared" si="22" ref="F133:J133">(E133*5%)+E133</f>
        <v>1.1025</v>
      </c>
      <c r="G133" s="455">
        <f t="shared" si="22"/>
        <v>1.1576250000000001</v>
      </c>
      <c r="H133" s="455">
        <f t="shared" si="22"/>
        <v>1.21550625</v>
      </c>
      <c r="I133" s="455">
        <f t="shared" si="22"/>
        <v>1.2762815625</v>
      </c>
      <c r="J133" s="455">
        <f t="shared" si="22"/>
        <v>1.340095640625</v>
      </c>
    </row>
    <row r="134" spans="8:8">
      <c r="A134" s="115"/>
      <c r="B134" s="115"/>
      <c r="C134" s="115"/>
      <c r="D134" s="115"/>
      <c r="E134" s="115"/>
      <c r="F134" s="115"/>
      <c r="G134" s="115"/>
      <c r="H134" s="115"/>
      <c r="I134" s="115"/>
      <c r="J134" s="115"/>
    </row>
    <row r="135" spans="8:8">
      <c r="A135" s="118" t="s">
        <v>0</v>
      </c>
      <c r="B135" s="118" t="s">
        <v>133</v>
      </c>
      <c r="C135" s="118" t="s">
        <v>152</v>
      </c>
      <c r="D135" s="119" t="s">
        <v>2</v>
      </c>
      <c r="E135" s="119" t="s">
        <v>3</v>
      </c>
      <c r="F135" s="119" t="s">
        <v>4</v>
      </c>
      <c r="G135" s="119" t="s">
        <v>5</v>
      </c>
      <c r="H135" s="119" t="s">
        <v>6</v>
      </c>
      <c r="I135" s="119" t="s">
        <v>169</v>
      </c>
      <c r="J135" s="119" t="s">
        <v>168</v>
      </c>
    </row>
    <row r="136" spans="8:8">
      <c r="A136" s="120"/>
      <c r="B136" s="120"/>
      <c r="C136" s="120"/>
      <c r="D136" s="120"/>
      <c r="E136" s="120"/>
      <c r="F136" s="120"/>
      <c r="G136" s="120"/>
      <c r="H136" s="120"/>
      <c r="I136" s="120"/>
      <c r="J136" s="120"/>
    </row>
    <row r="137" spans="8:8">
      <c r="A137" s="123" t="s">
        <v>127</v>
      </c>
      <c r="B137" s="123"/>
      <c r="C137" s="123"/>
      <c r="D137" s="316"/>
      <c r="E137" s="316"/>
      <c r="F137" s="316"/>
      <c r="G137" s="316"/>
      <c r="H137" s="316"/>
      <c r="I137" s="120"/>
      <c r="J137" s="120"/>
    </row>
    <row r="138" spans="8:8">
      <c r="A138" s="123" t="s">
        <v>320</v>
      </c>
      <c r="B138" s="123"/>
      <c r="C138" s="123"/>
      <c r="D138" s="120"/>
      <c r="E138" s="120"/>
      <c r="F138" s="120"/>
      <c r="G138" s="120"/>
      <c r="H138" s="120"/>
      <c r="I138" s="120"/>
      <c r="J138" s="120"/>
    </row>
    <row r="139" spans="8:8">
      <c r="A139" s="120" t="s">
        <v>163</v>
      </c>
      <c r="B139" s="79" t="s">
        <v>365</v>
      </c>
      <c r="C139" s="79">
        <f>70*50</f>
        <v>3500.0</v>
      </c>
      <c r="D139" s="122">
        <f>(((B95*100)*(1-'5.Closing Stock &amp; W Capital'!$D$17))/$B$124)*$C$139*D133</f>
        <v>0.0</v>
      </c>
      <c r="E139" s="122">
        <f>E133*((((C95*100)*(1-'5.Closing Stock &amp; W Capital'!$D$17))+((B95*100)*'5.Closing Stock &amp; W Capital'!$D$17))/$B$124)*$C$139</f>
        <v>0.0</v>
      </c>
      <c r="F139" s="122">
        <f>F133*((((D95*100)*(1-'5.Closing Stock &amp; W Capital'!$D$17))+((C95*100)*'5.Closing Stock &amp; W Capital'!$D$17))/$B$124)*$C$139</f>
        <v>0.0</v>
      </c>
      <c r="G139" s="122">
        <f>G133*((((E95*100)*(1-'5.Closing Stock &amp; W Capital'!$D$17))+((D95*100)*'5.Closing Stock &amp; W Capital'!$D$17))/$B$124)*$C$139</f>
        <v>0.0</v>
      </c>
      <c r="H139" s="122">
        <f>H133*((((F95*100)*(1-'5.Closing Stock &amp; W Capital'!$D$17))+((E95*100)*'5.Closing Stock &amp; W Capital'!$D$17))/$B$124)*$C$139</f>
        <v>0.0</v>
      </c>
      <c r="I139" s="122">
        <f>I133*((((G95*100)*(1-'5.Closing Stock &amp; W Capital'!$D$17))+((F95*100)*'5.Closing Stock &amp; W Capital'!$D$17))/$B$124)*$C$139</f>
        <v>0.0</v>
      </c>
      <c r="J139" s="122">
        <f>J133*((((H95*100)*(1-'5.Closing Stock &amp; W Capital'!$D$17))+((G95*100)*'5.Closing Stock &amp; W Capital'!$D$17))/$B$124)*$C$139</f>
        <v>0.0</v>
      </c>
    </row>
    <row r="140" spans="8:8">
      <c r="A140" s="120" t="s">
        <v>164</v>
      </c>
      <c r="B140" s="79" t="s">
        <v>365</v>
      </c>
      <c r="C140" s="79">
        <f>75*50</f>
        <v>3750.0</v>
      </c>
      <c r="D140" s="122">
        <f>(((B63*100)*(1-'5.Closing Stock &amp; W Capital'!$D$17))/B124)*$C$140*D133</f>
        <v>0.0</v>
      </c>
      <c r="E140" s="122">
        <f>((((C63*100)*(1-'5.Closing Stock &amp; W Capital'!$D$17))+((B63*100)*'5.Closing Stock &amp; W Capital'!$D$17))/$B$124)*$C$140*E133</f>
        <v>0.0</v>
      </c>
      <c r="F140" s="122">
        <f>((((D63*100)*(1-'5.Closing Stock &amp; W Capital'!$D$17))+((C63*100)*'5.Closing Stock &amp; W Capital'!$D$17))/$B$124)*$C$140*F133</f>
        <v>0.0</v>
      </c>
      <c r="G140" s="122">
        <f>((((E63*100)*(1-'5.Closing Stock &amp; W Capital'!$D$17))+((D63*100)*'5.Closing Stock &amp; W Capital'!$D$17))/$B$124)*$C$140*G133</f>
        <v>0.0</v>
      </c>
      <c r="H140" s="122">
        <f>((((F63*100)*(1-'5.Closing Stock &amp; W Capital'!$D$17))+((E63*100)*'5.Closing Stock &amp; W Capital'!$D$17))/$B$124)*$C$140*H133</f>
        <v>0.0</v>
      </c>
      <c r="I140" s="122">
        <f>((((G63*100)*(1-'5.Closing Stock &amp; W Capital'!$D$17))+((F63*100)*'5.Closing Stock &amp; W Capital'!$D$17))/$B$124)*$C$140*I133</f>
        <v>0.0</v>
      </c>
      <c r="J140" s="122">
        <f>((((H63*100)*(1-'5.Closing Stock &amp; W Capital'!$D$17))+((G63*100)*'5.Closing Stock &amp; W Capital'!$D$17))/$B$124)*$C$140*J133</f>
        <v>0.0</v>
      </c>
    </row>
    <row r="141" spans="8:8">
      <c r="A141" s="120" t="s">
        <v>321</v>
      </c>
      <c r="B141" s="79" t="s">
        <v>365</v>
      </c>
      <c r="C141" s="79">
        <f>80*50</f>
        <v>4000.0</v>
      </c>
      <c r="D141" s="122">
        <f>(((B78*100)*(1-'5.Closing Stock &amp; W Capital'!D17))/$B$124)*$C$141*D133</f>
        <v>0.0</v>
      </c>
      <c r="E141" s="122">
        <f>((((C78*100)*(1-'5.Closing Stock &amp; W Capital'!$D$17))+((B78*100)*'5.Closing Stock &amp; W Capital'!$D$17))/$B$124)*$C$141*E133</f>
        <v>0.0</v>
      </c>
      <c r="F141" s="122">
        <f>((((D78*100)*(1-'5.Closing Stock &amp; W Capital'!$D$17))+((C78*100)*'5.Closing Stock &amp; W Capital'!$D$17))/$B$124)*$C$141*F133</f>
        <v>0.0</v>
      </c>
      <c r="G141" s="122">
        <f>((((E78*100)*(1-'5.Closing Stock &amp; W Capital'!$D$17))+((D78*100)*'5.Closing Stock &amp; W Capital'!$D$17))/$B$124)*$C$141*G133</f>
        <v>0.0</v>
      </c>
      <c r="H141" s="122">
        <f>((((F78*100)*(1-'5.Closing Stock &amp; W Capital'!$D$17))+((E78*100)*'5.Closing Stock &amp; W Capital'!$D$17))/$B$124)*$C$141*H133</f>
        <v>0.0</v>
      </c>
      <c r="I141" s="122">
        <f>((((G78*100)*(1-'5.Closing Stock &amp; W Capital'!$D$17))+((F78*100)*'5.Closing Stock &amp; W Capital'!$D$17))/$B$124)*$C$141*I133</f>
        <v>0.0</v>
      </c>
      <c r="J141" s="122">
        <f>((((H78*100)*(1-'5.Closing Stock &amp; W Capital'!$D$17))+((G78*100)*'5.Closing Stock &amp; W Capital'!$D$17))/$B$124)*$C$141*J133</f>
        <v>0.0</v>
      </c>
    </row>
    <row r="142" spans="8:8">
      <c r="A142" s="120" t="s">
        <v>319</v>
      </c>
      <c r="B142" s="79" t="s">
        <v>365</v>
      </c>
      <c r="C142" s="79">
        <f>80*50</f>
        <v>4000.0</v>
      </c>
      <c r="D142" s="122">
        <f>(((B70*100)*(1-'5.Closing Stock &amp; W Capital'!D17))/B124)*$C$142*D133</f>
        <v>0.0</v>
      </c>
      <c r="E142" s="122">
        <f>((((C70*100)*(1-'5.Closing Stock &amp; W Capital'!$D$17))+((B70*100)*'5.Closing Stock &amp; W Capital'!$D$17))/$B$124)*$C$142*E133</f>
        <v>0.0</v>
      </c>
      <c r="F142" s="122">
        <f>((((D70*100)*(1-'5.Closing Stock &amp; W Capital'!$D$17))+((C70*100)*'5.Closing Stock &amp; W Capital'!$D$17))/$B$124)*$C$142*F133</f>
        <v>0.0</v>
      </c>
      <c r="G142" s="122">
        <f>((((E70*100)*(1-'5.Closing Stock &amp; W Capital'!$D$17))+((D70*100)*'5.Closing Stock &amp; W Capital'!$D$17))/$B$124)*$C$142*G133</f>
        <v>0.0</v>
      </c>
      <c r="H142" s="122">
        <f>((((F70*100)*(1-'5.Closing Stock &amp; W Capital'!$D$17))+((E70*100)*'5.Closing Stock &amp; W Capital'!$D$17))/$B$124)*$C$142*H133</f>
        <v>0.0</v>
      </c>
      <c r="I142" s="122">
        <f>((((G70*100)*(1-'5.Closing Stock &amp; W Capital'!$D$17))+((F70*100)*'5.Closing Stock &amp; W Capital'!$D$17))/$B$124)*$C$142*I133</f>
        <v>0.0</v>
      </c>
      <c r="J142" s="122">
        <f>((((H70*100)*(1-'5.Closing Stock &amp; W Capital'!$D$17))+((G70*100)*'5.Closing Stock &amp; W Capital'!$D$17))/$B$124)*$C$142*J133</f>
        <v>0.0</v>
      </c>
    </row>
    <row r="143" spans="8:8">
      <c r="A143" s="120"/>
      <c r="B143" s="120"/>
      <c r="C143" s="120"/>
      <c r="D143" s="122"/>
      <c r="E143" s="122"/>
      <c r="F143" s="122"/>
      <c r="G143" s="122"/>
      <c r="H143" s="122"/>
      <c r="I143" s="122"/>
      <c r="J143" s="122"/>
    </row>
    <row r="144" spans="8:8">
      <c r="A144" s="123" t="s">
        <v>142</v>
      </c>
      <c r="B144" s="84" t="s">
        <v>366</v>
      </c>
      <c r="C144" s="84">
        <v>10.0</v>
      </c>
      <c r="D144" s="122">
        <f t="shared" si="23" ref="D144:J144">((B63+B95+B78+B70)*100)*$C$144*D133</f>
        <v>0.0</v>
      </c>
      <c r="E144" s="122">
        <f t="shared" si="23"/>
        <v>0.0</v>
      </c>
      <c r="F144" s="122">
        <f t="shared" si="23"/>
        <v>0.0</v>
      </c>
      <c r="G144" s="122">
        <f t="shared" si="23"/>
        <v>0.0</v>
      </c>
      <c r="H144" s="122">
        <f t="shared" si="23"/>
        <v>0.0</v>
      </c>
      <c r="I144" s="122">
        <f t="shared" si="23"/>
        <v>0.0</v>
      </c>
      <c r="J144" s="122">
        <f t="shared" si="23"/>
        <v>0.0</v>
      </c>
    </row>
    <row r="145" spans="8:8">
      <c r="A145" s="120"/>
      <c r="B145" s="79"/>
      <c r="C145" s="79"/>
      <c r="D145" s="122"/>
      <c r="E145" s="122"/>
      <c r="F145" s="122"/>
      <c r="G145" s="122"/>
      <c r="H145" s="122"/>
      <c r="I145" s="122"/>
      <c r="J145" s="122"/>
      <c r="K145" s="456" t="e">
        <f>'[2]Output'!T58*70*K133</f>
        <v>#VALUE!</v>
      </c>
    </row>
    <row r="146" spans="8:8">
      <c r="A146" s="123" t="s">
        <v>296</v>
      </c>
      <c r="B146" s="84" t="s">
        <v>366</v>
      </c>
      <c r="C146" s="79">
        <v>6.0</v>
      </c>
      <c r="D146" s="122">
        <f t="shared" si="24" ref="D146:J146">(B35*100)*$C$146*D133</f>
        <v>0.0</v>
      </c>
      <c r="E146" s="122">
        <f t="shared" si="24"/>
        <v>0.0</v>
      </c>
      <c r="F146" s="122">
        <f t="shared" si="24"/>
        <v>0.0</v>
      </c>
      <c r="G146" s="122">
        <f t="shared" si="24"/>
        <v>0.0</v>
      </c>
      <c r="H146" s="122">
        <f t="shared" si="24"/>
        <v>0.0</v>
      </c>
      <c r="I146" s="122">
        <f t="shared" si="24"/>
        <v>0.0</v>
      </c>
      <c r="J146" s="122">
        <f t="shared" si="24"/>
        <v>0.0</v>
      </c>
    </row>
    <row r="147" spans="8:8">
      <c r="A147" s="120"/>
      <c r="B147" s="120"/>
      <c r="C147" s="120"/>
      <c r="D147" s="122"/>
      <c r="E147" s="122"/>
      <c r="F147" s="122"/>
      <c r="G147" s="122"/>
      <c r="H147" s="122"/>
      <c r="I147" s="122"/>
      <c r="J147" s="122"/>
    </row>
    <row r="148" spans="8:8">
      <c r="A148" s="123" t="s">
        <v>127</v>
      </c>
      <c r="B148" s="123"/>
      <c r="C148" s="123"/>
      <c r="D148" s="124">
        <f>SUM(D139:D146)</f>
        <v>0.0</v>
      </c>
      <c r="E148" s="124">
        <f t="shared" si="25" ref="E148:J148">SUM(E139:E146)</f>
        <v>0.0</v>
      </c>
      <c r="F148" s="124">
        <f t="shared" si="25"/>
        <v>0.0</v>
      </c>
      <c r="G148" s="124">
        <f t="shared" si="25"/>
        <v>0.0</v>
      </c>
      <c r="H148" s="124">
        <f t="shared" si="25"/>
        <v>0.0</v>
      </c>
      <c r="I148" s="124">
        <f t="shared" si="25"/>
        <v>0.0</v>
      </c>
      <c r="J148" s="124">
        <f t="shared" si="25"/>
        <v>0.0</v>
      </c>
    </row>
    <row r="149" spans="8:8">
      <c r="A149" s="120"/>
      <c r="B149" s="120"/>
      <c r="C149" s="120"/>
      <c r="D149" s="122"/>
      <c r="E149" s="122"/>
      <c r="F149" s="122"/>
      <c r="G149" s="122"/>
      <c r="H149" s="122"/>
      <c r="I149" s="122"/>
      <c r="J149" s="122"/>
    </row>
    <row r="150" spans="8:8">
      <c r="A150" s="123" t="s">
        <v>143</v>
      </c>
      <c r="B150" s="123"/>
      <c r="C150" s="123"/>
      <c r="D150" s="122"/>
      <c r="E150" s="122"/>
      <c r="F150" s="122"/>
      <c r="G150" s="122"/>
      <c r="H150" s="122"/>
      <c r="I150" s="122"/>
      <c r="J150" s="122"/>
    </row>
    <row r="151" spans="8:8">
      <c r="A151" s="123" t="s">
        <v>314</v>
      </c>
      <c r="B151" s="123"/>
      <c r="C151" s="120"/>
      <c r="D151" s="122"/>
      <c r="E151" s="122"/>
      <c r="F151" s="122"/>
      <c r="G151" s="122"/>
      <c r="H151" s="122"/>
      <c r="I151" s="122"/>
      <c r="J151" s="122"/>
    </row>
    <row r="152" spans="8:8">
      <c r="A152" s="136" t="s">
        <v>163</v>
      </c>
      <c r="B152" s="79" t="s">
        <v>367</v>
      </c>
      <c r="C152" s="121">
        <v>4800.0</v>
      </c>
      <c r="D152" s="122">
        <f t="shared" si="26" ref="D152:J152">(B47)*$C$152*D133</f>
        <v>0.0</v>
      </c>
      <c r="E152" s="122">
        <f t="shared" si="26"/>
        <v>0.0</v>
      </c>
      <c r="F152" s="122">
        <f t="shared" si="26"/>
        <v>0.0</v>
      </c>
      <c r="G152" s="122">
        <f t="shared" si="26"/>
        <v>0.0</v>
      </c>
      <c r="H152" s="122">
        <f t="shared" si="26"/>
        <v>0.0</v>
      </c>
      <c r="I152" s="122">
        <f t="shared" si="26"/>
        <v>0.0</v>
      </c>
      <c r="J152" s="122">
        <f t="shared" si="26"/>
        <v>0.0</v>
      </c>
    </row>
    <row r="153" spans="8:8">
      <c r="A153" s="120" t="s">
        <v>322</v>
      </c>
      <c r="B153" s="79" t="s">
        <v>367</v>
      </c>
      <c r="C153" s="121">
        <v>5800.0</v>
      </c>
      <c r="D153" s="122">
        <f t="shared" si="27" ref="D153:J153">(B38)*$C$153*D133</f>
        <v>0.0</v>
      </c>
      <c r="E153" s="122">
        <f t="shared" si="27"/>
        <v>0.0</v>
      </c>
      <c r="F153" s="122">
        <f t="shared" si="27"/>
        <v>0.0</v>
      </c>
      <c r="G153" s="122">
        <f t="shared" si="27"/>
        <v>0.0</v>
      </c>
      <c r="H153" s="122">
        <f t="shared" si="27"/>
        <v>0.0</v>
      </c>
      <c r="I153" s="122">
        <f t="shared" si="27"/>
        <v>0.0</v>
      </c>
      <c r="J153" s="122">
        <f t="shared" si="27"/>
        <v>0.0</v>
      </c>
    </row>
    <row r="154" spans="8:8">
      <c r="A154" s="120" t="s">
        <v>323</v>
      </c>
      <c r="B154" s="79" t="s">
        <v>367</v>
      </c>
      <c r="C154" s="121">
        <v>5800.0</v>
      </c>
      <c r="D154" s="122">
        <f t="shared" si="28" ref="D154:J154">(B42)*$C$154*D133</f>
        <v>0.0</v>
      </c>
      <c r="E154" s="122">
        <f t="shared" si="28"/>
        <v>0.0</v>
      </c>
      <c r="F154" s="122">
        <f t="shared" si="28"/>
        <v>0.0</v>
      </c>
      <c r="G154" s="122">
        <f t="shared" si="28"/>
        <v>0.0</v>
      </c>
      <c r="H154" s="122">
        <f t="shared" si="28"/>
        <v>0.0</v>
      </c>
      <c r="I154" s="122">
        <f t="shared" si="28"/>
        <v>0.0</v>
      </c>
      <c r="J154" s="122">
        <f t="shared" si="28"/>
        <v>0.0</v>
      </c>
    </row>
    <row r="155" spans="8:8">
      <c r="A155" s="120" t="s">
        <v>319</v>
      </c>
      <c r="B155" s="79" t="s">
        <v>367</v>
      </c>
      <c r="C155" s="121">
        <v>6200.0</v>
      </c>
      <c r="D155" s="122">
        <f t="shared" si="29" ref="D155:J155">(B40)*$C$155*D133</f>
        <v>0.0</v>
      </c>
      <c r="E155" s="122">
        <f t="shared" si="29"/>
        <v>0.0</v>
      </c>
      <c r="F155" s="122">
        <f t="shared" si="29"/>
        <v>0.0</v>
      </c>
      <c r="G155" s="122">
        <f t="shared" si="29"/>
        <v>0.0</v>
      </c>
      <c r="H155" s="122">
        <f t="shared" si="29"/>
        <v>0.0</v>
      </c>
      <c r="I155" s="122">
        <f t="shared" si="29"/>
        <v>0.0</v>
      </c>
      <c r="J155" s="122">
        <f t="shared" si="29"/>
        <v>0.0</v>
      </c>
    </row>
    <row r="156" spans="8:8">
      <c r="A156" s="120" t="s">
        <v>368</v>
      </c>
      <c r="B156" s="79">
        <v>2.0</v>
      </c>
      <c r="C156" s="79">
        <v>100.0</v>
      </c>
      <c r="D156" s="122">
        <f t="shared" si="30" ref="D156:J156">(B32/10)*$B$156*$C$156*D133</f>
        <v>0.0</v>
      </c>
      <c r="E156" s="122">
        <f t="shared" si="30"/>
        <v>0.0</v>
      </c>
      <c r="F156" s="122">
        <f t="shared" si="30"/>
        <v>0.0</v>
      </c>
      <c r="G156" s="122">
        <f t="shared" si="30"/>
        <v>0.0</v>
      </c>
      <c r="H156" s="122">
        <f t="shared" si="30"/>
        <v>0.0</v>
      </c>
      <c r="I156" s="122">
        <f t="shared" si="30"/>
        <v>0.0</v>
      </c>
      <c r="J156" s="122">
        <f t="shared" si="30"/>
        <v>0.0</v>
      </c>
    </row>
    <row r="157" spans="8:8">
      <c r="A157" s="120" t="s">
        <v>324</v>
      </c>
      <c r="B157" s="79">
        <v>3.0</v>
      </c>
      <c r="C157" s="79">
        <v>300.0</v>
      </c>
      <c r="D157" s="122">
        <f t="shared" si="31" ref="D157:J157">B12*$B$157*$C$157*D133</f>
        <v>0.0</v>
      </c>
      <c r="E157" s="122">
        <f t="shared" si="31"/>
        <v>0.0</v>
      </c>
      <c r="F157" s="122">
        <f t="shared" si="31"/>
        <v>0.0</v>
      </c>
      <c r="G157" s="122">
        <f t="shared" si="31"/>
        <v>0.0</v>
      </c>
      <c r="H157" s="122">
        <f t="shared" si="31"/>
        <v>0.0</v>
      </c>
      <c r="I157" s="122">
        <f t="shared" si="31"/>
        <v>0.0</v>
      </c>
      <c r="J157" s="122">
        <f t="shared" si="31"/>
        <v>0.0</v>
      </c>
    </row>
    <row r="158" spans="8:8">
      <c r="A158" s="120" t="s">
        <v>145</v>
      </c>
      <c r="B158" s="120">
        <f>'2.Capex Details'!H47*0.746*8</f>
        <v>0.0</v>
      </c>
      <c r="C158" s="79">
        <v>8.0</v>
      </c>
      <c r="D158" s="122">
        <f t="shared" si="32" ref="D158:J158">$B$158*$C$158*B12*D133</f>
        <v>0.0</v>
      </c>
      <c r="E158" s="122">
        <f t="shared" si="32"/>
        <v>0.0</v>
      </c>
      <c r="F158" s="122">
        <f t="shared" si="32"/>
        <v>0.0</v>
      </c>
      <c r="G158" s="122">
        <f t="shared" si="32"/>
        <v>0.0</v>
      </c>
      <c r="H158" s="122">
        <f t="shared" si="32"/>
        <v>0.0</v>
      </c>
      <c r="I158" s="122">
        <f t="shared" si="32"/>
        <v>0.0</v>
      </c>
      <c r="J158" s="122">
        <f t="shared" si="32"/>
        <v>0.0</v>
      </c>
    </row>
    <row r="159" spans="8:8">
      <c r="A159" s="120" t="s">
        <v>297</v>
      </c>
      <c r="B159" s="120"/>
      <c r="C159" s="79">
        <v>10.0</v>
      </c>
      <c r="D159" s="122">
        <f t="shared" si="33" ref="D159:J159">((B35*100)/50)*$C$159*D133</f>
        <v>0.0</v>
      </c>
      <c r="E159" s="122">
        <f t="shared" si="33"/>
        <v>0.0</v>
      </c>
      <c r="F159" s="122">
        <f t="shared" si="33"/>
        <v>0.0</v>
      </c>
      <c r="G159" s="122">
        <f t="shared" si="33"/>
        <v>0.0</v>
      </c>
      <c r="H159" s="122">
        <f t="shared" si="33"/>
        <v>0.0</v>
      </c>
      <c r="I159" s="122">
        <f t="shared" si="33"/>
        <v>0.0</v>
      </c>
      <c r="J159" s="122">
        <f t="shared" si="33"/>
        <v>0.0</v>
      </c>
    </row>
    <row r="160" spans="8:8">
      <c r="A160" s="321" t="s">
        <v>298</v>
      </c>
      <c r="B160" s="321"/>
      <c r="C160" s="457">
        <v>20.0</v>
      </c>
      <c r="D160" s="122">
        <f t="shared" si="34" ref="D160:J160">(((B78+B69+B95+B63)*100)/50)*$C$160*D133</f>
        <v>0.0</v>
      </c>
      <c r="E160" s="122">
        <f t="shared" si="34"/>
        <v>0.0</v>
      </c>
      <c r="F160" s="122">
        <f t="shared" si="34"/>
        <v>0.0</v>
      </c>
      <c r="G160" s="122">
        <f t="shared" si="34"/>
        <v>0.0</v>
      </c>
      <c r="H160" s="122">
        <f t="shared" si="34"/>
        <v>0.0</v>
      </c>
      <c r="I160" s="122">
        <f t="shared" si="34"/>
        <v>0.0</v>
      </c>
      <c r="J160" s="122">
        <f t="shared" si="34"/>
        <v>0.0</v>
      </c>
    </row>
    <row r="161" spans="8:8">
      <c r="A161" s="120" t="s">
        <v>299</v>
      </c>
      <c r="B161" s="120"/>
      <c r="C161" s="79">
        <v>100.0</v>
      </c>
      <c r="D161" s="122">
        <f t="shared" si="35" ref="D161:J161">(((B78+B69+B95+B63)*100)/50)*$C$161*D133</f>
        <v>0.0</v>
      </c>
      <c r="E161" s="122">
        <f t="shared" si="35"/>
        <v>0.0</v>
      </c>
      <c r="F161" s="122">
        <f t="shared" si="35"/>
        <v>0.0</v>
      </c>
      <c r="G161" s="122">
        <f t="shared" si="35"/>
        <v>0.0</v>
      </c>
      <c r="H161" s="122">
        <f t="shared" si="35"/>
        <v>0.0</v>
      </c>
      <c r="I161" s="122">
        <f t="shared" si="35"/>
        <v>0.0</v>
      </c>
      <c r="J161" s="122">
        <f t="shared" si="35"/>
        <v>0.0</v>
      </c>
    </row>
    <row r="162" spans="8:8">
      <c r="A162" s="206"/>
      <c r="B162" s="206"/>
      <c r="C162" s="206"/>
      <c r="D162" s="206"/>
      <c r="E162" s="206"/>
      <c r="F162" s="206"/>
      <c r="G162" s="206"/>
      <c r="H162" s="206"/>
      <c r="I162" s="206"/>
      <c r="J162" s="206"/>
    </row>
    <row r="163" spans="8:8">
      <c r="A163" s="206"/>
      <c r="B163" s="206"/>
      <c r="C163" s="206"/>
      <c r="D163" s="206"/>
      <c r="E163" s="206"/>
      <c r="F163" s="206"/>
      <c r="G163" s="206"/>
      <c r="H163" s="206"/>
      <c r="I163" s="206"/>
      <c r="J163" s="206"/>
    </row>
    <row r="164" spans="8:8">
      <c r="A164" s="206"/>
      <c r="B164" s="206"/>
      <c r="C164" s="206"/>
      <c r="D164" s="206"/>
      <c r="E164" s="206"/>
      <c r="F164" s="206"/>
      <c r="G164" s="206"/>
      <c r="H164" s="206"/>
      <c r="I164" s="206"/>
      <c r="J164" s="206"/>
    </row>
    <row r="165" spans="8:8">
      <c r="A165" s="206"/>
      <c r="B165" s="206"/>
      <c r="C165" s="206"/>
      <c r="D165" s="206"/>
      <c r="E165" s="206"/>
      <c r="F165" s="206"/>
      <c r="G165" s="206"/>
      <c r="H165" s="206"/>
      <c r="I165" s="206"/>
      <c r="J165" s="206"/>
    </row>
    <row r="166" spans="8:8">
      <c r="A166" s="458" t="s">
        <v>347</v>
      </c>
      <c r="B166" s="122"/>
      <c r="C166" s="122"/>
      <c r="D166" s="122"/>
      <c r="E166" s="122">
        <f>'5.Closing Stock &amp; W Capital'!F8</f>
        <v>0.0</v>
      </c>
      <c r="F166" s="122">
        <f>'5.Closing Stock &amp; W Capital'!G8</f>
        <v>0.0</v>
      </c>
      <c r="G166" s="122">
        <f>'5.Closing Stock &amp; W Capital'!H8</f>
        <v>0.0</v>
      </c>
      <c r="H166" s="122">
        <f>'5.Closing Stock &amp; W Capital'!I8</f>
        <v>0.0</v>
      </c>
      <c r="I166" s="122">
        <f>'5.Closing Stock &amp; W Capital'!J8</f>
        <v>0.0</v>
      </c>
      <c r="J166" s="122">
        <f>'5.Closing Stock &amp; W Capital'!K8</f>
        <v>0.0</v>
      </c>
    </row>
    <row r="167" spans="8:8">
      <c r="A167" s="458" t="s">
        <v>348</v>
      </c>
      <c r="B167" s="122"/>
      <c r="C167" s="122"/>
      <c r="D167" s="122">
        <f>'5.Closing Stock &amp; W Capital'!E17</f>
        <v>0.0</v>
      </c>
      <c r="E167" s="122">
        <f>'5.Closing Stock &amp; W Capital'!F17</f>
        <v>0.0</v>
      </c>
      <c r="F167" s="122">
        <f>'5.Closing Stock &amp; W Capital'!G17</f>
        <v>0.0</v>
      </c>
      <c r="G167" s="122">
        <f>'5.Closing Stock &amp; W Capital'!H17</f>
        <v>0.0</v>
      </c>
      <c r="H167" s="122">
        <f>'5.Closing Stock &amp; W Capital'!I17</f>
        <v>0.0</v>
      </c>
      <c r="I167" s="122">
        <f>'5.Closing Stock &amp; W Capital'!J17</f>
        <v>0.0</v>
      </c>
      <c r="J167" s="122">
        <f>'5.Closing Stock &amp; W Capital'!K17</f>
        <v>0.0</v>
      </c>
    </row>
    <row r="168" spans="8:8">
      <c r="A168" s="122"/>
      <c r="B168" s="122"/>
      <c r="C168" s="122"/>
      <c r="D168" s="122"/>
      <c r="E168" s="122"/>
      <c r="F168" s="122"/>
      <c r="G168" s="122"/>
      <c r="H168" s="122"/>
      <c r="I168" s="122"/>
      <c r="J168" s="122"/>
    </row>
    <row r="169" spans="8:8">
      <c r="A169" s="124" t="s">
        <v>325</v>
      </c>
      <c r="B169" s="122"/>
      <c r="C169" s="122"/>
      <c r="D169" s="124">
        <f>SUM(D152:D166)-D167</f>
        <v>0.0</v>
      </c>
      <c r="E169" s="124">
        <f>SUM(E152:E166)-E167</f>
        <v>0.0</v>
      </c>
      <c r="F169" s="124">
        <f t="shared" si="36" ref="F169:J169">SUM(F152:F166)-F167</f>
        <v>0.0</v>
      </c>
      <c r="G169" s="124">
        <f t="shared" si="36"/>
        <v>0.0</v>
      </c>
      <c r="H169" s="124">
        <f t="shared" si="36"/>
        <v>0.0</v>
      </c>
      <c r="I169" s="124">
        <f t="shared" si="36"/>
        <v>0.0</v>
      </c>
      <c r="J169" s="124">
        <f t="shared" si="36"/>
        <v>0.0</v>
      </c>
    </row>
    <row r="170" spans="8:8">
      <c r="A170" s="115"/>
      <c r="B170" s="115"/>
      <c r="C170" s="115"/>
      <c r="D170" s="115"/>
      <c r="E170" s="115"/>
      <c r="F170" s="115"/>
      <c r="G170" s="115"/>
      <c r="H170" s="115"/>
      <c r="I170" s="115"/>
      <c r="J170" s="115"/>
    </row>
    <row r="171" spans="8:8">
      <c r="A171" s="459" t="s">
        <v>312</v>
      </c>
      <c r="B171" s="459"/>
      <c r="C171" s="459"/>
      <c r="D171" s="124"/>
      <c r="E171" s="124"/>
      <c r="F171" s="124"/>
      <c r="G171" s="124"/>
      <c r="H171" s="124"/>
      <c r="I171" s="124"/>
      <c r="J171" s="124"/>
    </row>
    <row r="172" spans="8:8">
      <c r="A172" s="120" t="s">
        <v>188</v>
      </c>
      <c r="B172" s="79">
        <v>1.0</v>
      </c>
      <c r="C172" s="121"/>
      <c r="D172" s="122">
        <f t="shared" si="37" ref="D172:J172">$B$172*$C$172*12*D133</f>
        <v>0.0</v>
      </c>
      <c r="E172" s="122">
        <f t="shared" si="37"/>
        <v>0.0</v>
      </c>
      <c r="F172" s="122">
        <f t="shared" si="37"/>
        <v>0.0</v>
      </c>
      <c r="G172" s="122">
        <f t="shared" si="37"/>
        <v>0.0</v>
      </c>
      <c r="H172" s="122">
        <f t="shared" si="37"/>
        <v>0.0</v>
      </c>
      <c r="I172" s="122">
        <f t="shared" si="37"/>
        <v>0.0</v>
      </c>
      <c r="J172" s="122">
        <f t="shared" si="37"/>
        <v>0.0</v>
      </c>
    </row>
    <row r="173" spans="8:8">
      <c r="A173" s="120"/>
      <c r="B173" s="79"/>
      <c r="C173" s="121"/>
      <c r="D173" s="122"/>
      <c r="E173" s="122"/>
      <c r="F173" s="122"/>
      <c r="G173" s="122"/>
      <c r="H173" s="122"/>
      <c r="I173" s="122"/>
      <c r="J173" s="122"/>
    </row>
    <row r="174" spans="8:8">
      <c r="A174" s="120"/>
      <c r="B174" s="79"/>
      <c r="C174" s="121"/>
      <c r="D174" s="122"/>
      <c r="E174" s="122"/>
      <c r="F174" s="122"/>
      <c r="G174" s="122"/>
      <c r="H174" s="122"/>
      <c r="I174" s="122"/>
      <c r="J174" s="122"/>
    </row>
    <row r="175" spans="8:8">
      <c r="A175" s="120"/>
      <c r="B175" s="79"/>
      <c r="C175" s="121"/>
      <c r="D175" s="122"/>
      <c r="E175" s="122"/>
      <c r="F175" s="122"/>
      <c r="G175" s="122"/>
      <c r="H175" s="122"/>
      <c r="I175" s="122"/>
      <c r="J175" s="122"/>
    </row>
    <row r="176" spans="8:8">
      <c r="A176" s="120"/>
      <c r="B176" s="79"/>
      <c r="C176" s="121"/>
      <c r="D176" s="122"/>
      <c r="E176" s="122"/>
      <c r="F176" s="122"/>
      <c r="G176" s="122"/>
      <c r="H176" s="122"/>
      <c r="I176" s="122"/>
      <c r="J176" s="122"/>
    </row>
    <row r="177" spans="8:8">
      <c r="A177" s="123" t="s">
        <v>312</v>
      </c>
      <c r="B177" s="123"/>
      <c r="C177" s="123"/>
      <c r="D177" s="124">
        <f t="shared" si="38" ref="D177:J177">SUM(D172:D176)</f>
        <v>0.0</v>
      </c>
      <c r="E177" s="124">
        <f t="shared" si="38"/>
        <v>0.0</v>
      </c>
      <c r="F177" s="124">
        <f t="shared" si="38"/>
        <v>0.0</v>
      </c>
      <c r="G177" s="124">
        <f t="shared" si="38"/>
        <v>0.0</v>
      </c>
      <c r="H177" s="124">
        <f t="shared" si="38"/>
        <v>0.0</v>
      </c>
      <c r="I177" s="124">
        <f t="shared" si="38"/>
        <v>0.0</v>
      </c>
      <c r="J177" s="124">
        <f t="shared" si="38"/>
        <v>0.0</v>
      </c>
    </row>
    <row r="178" spans="8:8">
      <c r="A178" s="459" t="s">
        <v>300</v>
      </c>
      <c r="B178" s="459"/>
      <c r="C178" s="459"/>
      <c r="D178" s="124">
        <f t="shared" si="39" ref="D178:J178">D169+D177</f>
        <v>0.0</v>
      </c>
      <c r="E178" s="124">
        <f t="shared" si="39"/>
        <v>0.0</v>
      </c>
      <c r="F178" s="124">
        <f t="shared" si="39"/>
        <v>0.0</v>
      </c>
      <c r="G178" s="124">
        <f t="shared" si="39"/>
        <v>0.0</v>
      </c>
      <c r="H178" s="124">
        <f t="shared" si="39"/>
        <v>0.0</v>
      </c>
      <c r="I178" s="124">
        <f t="shared" si="39"/>
        <v>0.0</v>
      </c>
      <c r="J178" s="124">
        <f t="shared" si="39"/>
        <v>0.0</v>
      </c>
    </row>
    <row r="179" spans="8:8">
      <c r="A179" s="120"/>
      <c r="B179" s="120"/>
      <c r="C179" s="120"/>
      <c r="D179" s="122"/>
      <c r="E179" s="122"/>
      <c r="F179" s="122"/>
      <c r="G179" s="122"/>
      <c r="H179" s="122"/>
      <c r="I179" s="122"/>
      <c r="J179" s="122"/>
    </row>
    <row r="180" spans="8:8">
      <c r="A180" s="123" t="s">
        <v>7</v>
      </c>
      <c r="B180" s="123"/>
      <c r="C180" s="123"/>
      <c r="D180" s="124">
        <f t="shared" si="40" ref="D180:J180">D148-D178</f>
        <v>0.0</v>
      </c>
      <c r="E180" s="124">
        <f t="shared" si="40"/>
        <v>0.0</v>
      </c>
      <c r="F180" s="124">
        <f t="shared" si="40"/>
        <v>0.0</v>
      </c>
      <c r="G180" s="124">
        <f t="shared" si="40"/>
        <v>0.0</v>
      </c>
      <c r="H180" s="124">
        <f t="shared" si="40"/>
        <v>0.0</v>
      </c>
      <c r="I180" s="124">
        <f t="shared" si="40"/>
        <v>0.0</v>
      </c>
      <c r="J180" s="124">
        <f t="shared" si="40"/>
        <v>0.0</v>
      </c>
    </row>
    <row r="181" spans="8:8">
      <c r="A181" s="317"/>
      <c r="B181" s="317"/>
      <c r="C181" s="317"/>
      <c r="D181" s="115"/>
      <c r="E181" s="115"/>
      <c r="F181" s="115"/>
      <c r="G181" s="115"/>
      <c r="H181" s="115"/>
      <c r="I181" s="115"/>
      <c r="J181" s="115"/>
    </row>
    <row r="182" spans="8:8">
      <c r="A182" s="115"/>
      <c r="B182" s="115"/>
      <c r="C182" s="115"/>
      <c r="D182" s="115"/>
      <c r="E182" s="115"/>
      <c r="F182" s="115"/>
      <c r="G182" s="115"/>
      <c r="H182" s="115"/>
      <c r="I182" s="115"/>
      <c r="J182" s="115"/>
    </row>
    <row r="183" spans="8:8">
      <c r="A183" s="115"/>
      <c r="B183" s="115"/>
      <c r="C183" s="115"/>
      <c r="D183" s="115"/>
      <c r="E183" s="115"/>
      <c r="F183" s="115"/>
      <c r="G183" s="115"/>
      <c r="H183" s="115"/>
      <c r="I183" s="115"/>
      <c r="J183" s="115"/>
    </row>
    <row r="184" spans="8:8">
      <c r="A184" s="49" t="s">
        <v>432</v>
      </c>
      <c r="B184" s="49"/>
      <c r="C184" s="49"/>
      <c r="D184" s="49"/>
      <c r="E184" s="49"/>
      <c r="F184" s="49"/>
      <c r="G184" s="49"/>
      <c r="H184" s="49"/>
      <c r="I184" s="49"/>
      <c r="J184" s="49"/>
    </row>
    <row r="186" spans="8:8">
      <c r="A186" t="s">
        <v>553</v>
      </c>
    </row>
    <row r="187" spans="8:8">
      <c r="A187">
        <v>1.0</v>
      </c>
      <c r="B187" t="s">
        <v>566</v>
      </c>
    </row>
    <row r="188" spans="8:8">
      <c r="A188">
        <v>2.0</v>
      </c>
      <c r="B188" t="s">
        <v>567</v>
      </c>
    </row>
    <row r="189" spans="8:8">
      <c r="A189">
        <v>3.0</v>
      </c>
      <c r="B189" s="115" t="s">
        <v>619</v>
      </c>
    </row>
  </sheetData>
  <mergeCells count="4">
    <mergeCell ref="A131:J131"/>
    <mergeCell ref="A184:J184"/>
    <mergeCell ref="A3:H3"/>
    <mergeCell ref="A4:H4"/>
  </mergeCells>
  <pageMargins left="0.7" right="0.7" top="0.75" bottom="0.75" header="0.3" footer="0.3"/>
  <pageSetup paperSize="9" scale="48"/>
</worksheet>
</file>

<file path=xl/worksheets/sheet15.xml><?xml version="1.0" encoding="utf-8"?>
<worksheet xmlns:r="http://schemas.openxmlformats.org/officeDocument/2006/relationships" xmlns="http://schemas.openxmlformats.org/spreadsheetml/2006/main">
  <dimension ref="A1:K56"/>
  <sheetViews>
    <sheetView workbookViewId="0" zoomScale="80">
      <selection activeCell="A87" sqref="A87"/>
    </sheetView>
  </sheetViews>
  <sheetFormatPr defaultRowHeight="15.0" defaultColWidth="10"/>
  <cols>
    <col min="1" max="1" customWidth="1" bestFit="1" width="30.425781" style="0"/>
    <col min="2" max="2" customWidth="1" width="9.855469" style="0"/>
    <col min="3" max="3" customWidth="1" width="11.140625" style="0"/>
    <col min="4" max="10" customWidth="1" bestFit="1" width="9.5703125" style="0"/>
  </cols>
  <sheetData>
    <row r="2" spans="8:8" ht="18.75">
      <c r="A2" s="460" t="s">
        <v>606</v>
      </c>
      <c r="B2" s="460"/>
      <c r="C2" s="460"/>
      <c r="D2" s="460"/>
      <c r="E2" s="460"/>
      <c r="F2" s="460"/>
      <c r="G2" s="460"/>
      <c r="H2" s="460"/>
    </row>
    <row r="3" spans="8:8" ht="18.75">
      <c r="A3" s="460" t="s">
        <v>607</v>
      </c>
      <c r="B3" s="460"/>
      <c r="C3" s="460"/>
      <c r="D3" s="460"/>
      <c r="E3" s="460"/>
      <c r="F3" s="460"/>
      <c r="G3" s="460"/>
      <c r="H3" s="460"/>
    </row>
    <row r="4" spans="8:8">
      <c r="A4" s="435" t="s">
        <v>161</v>
      </c>
      <c r="B4" s="461"/>
      <c r="C4" s="462" t="s">
        <v>301</v>
      </c>
      <c r="D4" s="462"/>
      <c r="E4" s="462"/>
      <c r="F4" s="462"/>
      <c r="G4" s="449"/>
      <c r="H4" s="115"/>
    </row>
    <row r="5" spans="8:8">
      <c r="A5" s="435"/>
      <c r="B5" s="463"/>
      <c r="C5" s="449"/>
      <c r="D5" s="449"/>
      <c r="E5" s="449"/>
      <c r="F5" s="449"/>
      <c r="G5" s="449"/>
      <c r="H5" s="115"/>
    </row>
    <row r="6" spans="8:8">
      <c r="A6" s="435" t="s">
        <v>303</v>
      </c>
      <c r="B6" s="464">
        <v>12.0</v>
      </c>
      <c r="C6" s="449"/>
      <c r="D6" s="464"/>
      <c r="E6" s="464"/>
      <c r="F6" s="449"/>
      <c r="G6" s="449"/>
      <c r="H6" s="115"/>
    </row>
    <row r="7" spans="8:8">
      <c r="A7" s="435"/>
      <c r="B7" s="115"/>
      <c r="C7" s="464"/>
      <c r="D7" s="464"/>
      <c r="E7" s="464"/>
      <c r="F7" s="449"/>
      <c r="G7" s="449"/>
      <c r="H7" s="115"/>
    </row>
    <row r="8" spans="8:8">
      <c r="A8" s="118" t="s">
        <v>128</v>
      </c>
      <c r="B8" s="119" t="s">
        <v>2</v>
      </c>
      <c r="C8" s="119" t="s">
        <v>3</v>
      </c>
      <c r="D8" s="119" t="s">
        <v>4</v>
      </c>
      <c r="E8" s="119" t="s">
        <v>5</v>
      </c>
      <c r="F8" s="119" t="s">
        <v>6</v>
      </c>
      <c r="G8" s="119" t="s">
        <v>169</v>
      </c>
      <c r="H8" s="119" t="s">
        <v>168</v>
      </c>
    </row>
    <row r="9" spans="8:8">
      <c r="A9" s="120" t="s">
        <v>304</v>
      </c>
      <c r="B9" s="207">
        <v>0.8</v>
      </c>
      <c r="C9" s="207">
        <f>B9+5%</f>
        <v>0.8500000000000001</v>
      </c>
      <c r="D9" s="207">
        <f>C9+5%</f>
        <v>0.9</v>
      </c>
      <c r="E9" s="207">
        <f>D9+5%</f>
        <v>0.9500000000000001</v>
      </c>
      <c r="F9" s="207">
        <f>E9+5%</f>
        <v>1.0</v>
      </c>
      <c r="G9" s="207">
        <f>F9</f>
        <v>1.0</v>
      </c>
      <c r="H9" s="207">
        <f>G9</f>
        <v>1.0</v>
      </c>
    </row>
    <row r="10" spans="8:8">
      <c r="A10" s="123" t="s">
        <v>326</v>
      </c>
      <c r="B10" s="448">
        <f t="shared" si="0" ref="B10:H10">$B$4*B9*$B$6</f>
        <v>0.0</v>
      </c>
      <c r="C10" s="448">
        <f t="shared" si="0"/>
        <v>0.0</v>
      </c>
      <c r="D10" s="448">
        <f t="shared" si="0"/>
        <v>0.0</v>
      </c>
      <c r="E10" s="448">
        <f t="shared" si="0"/>
        <v>0.0</v>
      </c>
      <c r="F10" s="448">
        <f t="shared" si="0"/>
        <v>0.0</v>
      </c>
      <c r="G10" s="448">
        <f t="shared" si="0"/>
        <v>0.0</v>
      </c>
      <c r="H10" s="448">
        <f t="shared" si="0"/>
        <v>0.0</v>
      </c>
    </row>
    <row r="15" spans="8:8" ht="18.75">
      <c r="A15" s="30" t="s">
        <v>608</v>
      </c>
      <c r="B15" s="30"/>
      <c r="C15" s="30"/>
      <c r="D15" s="30"/>
      <c r="E15" s="30"/>
      <c r="F15" s="30"/>
      <c r="G15" s="30"/>
      <c r="H15" s="30"/>
      <c r="I15" s="30"/>
      <c r="J15" s="30"/>
    </row>
    <row r="16" spans="8:8">
      <c r="A16" s="465"/>
      <c r="B16" s="452"/>
      <c r="C16" s="466"/>
      <c r="D16" s="465"/>
      <c r="E16" s="465"/>
      <c r="F16" s="465"/>
      <c r="G16" s="465"/>
      <c r="H16" s="465"/>
    </row>
    <row r="17" spans="8:8">
      <c r="A17" s="115"/>
      <c r="B17" s="115"/>
      <c r="C17" s="115"/>
      <c r="D17" s="116">
        <v>1.0</v>
      </c>
      <c r="E17" s="117">
        <f>(D17*5%)+D17</f>
        <v>1.05</v>
      </c>
      <c r="F17" s="117">
        <f t="shared" si="1" ref="F17:J17">(E17*5%)+E17</f>
        <v>1.1025</v>
      </c>
      <c r="G17" s="117">
        <f t="shared" si="1"/>
        <v>1.1576250000000001</v>
      </c>
      <c r="H17" s="117">
        <f t="shared" si="1"/>
        <v>1.21550625</v>
      </c>
      <c r="I17" s="117">
        <f t="shared" si="1"/>
        <v>1.2762815625</v>
      </c>
      <c r="J17" s="117">
        <f t="shared" si="1"/>
        <v>1.340095640625</v>
      </c>
    </row>
    <row r="18" spans="8:8">
      <c r="A18" s="118" t="s">
        <v>0</v>
      </c>
      <c r="B18" s="118" t="s">
        <v>133</v>
      </c>
      <c r="C18" s="118" t="s">
        <v>152</v>
      </c>
      <c r="D18" s="119" t="s">
        <v>2</v>
      </c>
      <c r="E18" s="119" t="s">
        <v>3</v>
      </c>
      <c r="F18" s="119" t="s">
        <v>4</v>
      </c>
      <c r="G18" s="119" t="s">
        <v>5</v>
      </c>
      <c r="H18" s="119" t="s">
        <v>6</v>
      </c>
      <c r="I18" s="119" t="s">
        <v>169</v>
      </c>
      <c r="J18" s="119" t="s">
        <v>168</v>
      </c>
    </row>
    <row r="19" spans="8:8">
      <c r="A19" s="120"/>
      <c r="B19" s="120"/>
      <c r="C19" s="120"/>
      <c r="D19" s="120"/>
      <c r="E19" s="120"/>
      <c r="F19" s="120"/>
      <c r="G19" s="120"/>
      <c r="H19" s="120"/>
      <c r="I19" s="120"/>
      <c r="J19" s="120"/>
    </row>
    <row r="20" spans="8:8">
      <c r="A20" s="123" t="s">
        <v>177</v>
      </c>
      <c r="B20" s="123"/>
      <c r="C20" s="123"/>
      <c r="D20" s="120"/>
      <c r="E20" s="120"/>
      <c r="F20" s="120"/>
      <c r="G20" s="120"/>
      <c r="H20" s="120"/>
      <c r="I20" s="120"/>
      <c r="J20" s="120"/>
    </row>
    <row r="21" spans="8:8">
      <c r="A21" s="120" t="s">
        <v>328</v>
      </c>
      <c r="B21" s="120"/>
      <c r="C21" s="121">
        <v>100.0</v>
      </c>
      <c r="D21" s="122">
        <f t="shared" si="2" ref="D21:J21">B10*$C$21*D17</f>
        <v>0.0</v>
      </c>
      <c r="E21" s="122">
        <f t="shared" si="2"/>
        <v>0.0</v>
      </c>
      <c r="F21" s="122">
        <f t="shared" si="2"/>
        <v>0.0</v>
      </c>
      <c r="G21" s="122">
        <f t="shared" si="2"/>
        <v>0.0</v>
      </c>
      <c r="H21" s="122">
        <f t="shared" si="2"/>
        <v>0.0</v>
      </c>
      <c r="I21" s="122">
        <f t="shared" si="2"/>
        <v>0.0</v>
      </c>
      <c r="J21" s="122">
        <f t="shared" si="2"/>
        <v>0.0</v>
      </c>
    </row>
    <row r="22" spans="8:8">
      <c r="A22" s="120"/>
      <c r="B22" s="120"/>
      <c r="C22" s="122"/>
      <c r="D22" s="122"/>
      <c r="E22" s="122"/>
      <c r="F22" s="122"/>
      <c r="G22" s="122"/>
      <c r="H22" s="122"/>
      <c r="I22" s="122"/>
      <c r="J22" s="122"/>
    </row>
    <row r="23" spans="8:8">
      <c r="A23" s="123" t="s">
        <v>144</v>
      </c>
      <c r="B23" s="123"/>
      <c r="C23" s="124"/>
      <c r="D23" s="122">
        <f t="shared" si="3" ref="D23:J23">SUM(D21:D21)</f>
        <v>0.0</v>
      </c>
      <c r="E23" s="122">
        <f t="shared" si="3"/>
        <v>0.0</v>
      </c>
      <c r="F23" s="122">
        <f t="shared" si="3"/>
        <v>0.0</v>
      </c>
      <c r="G23" s="122">
        <f t="shared" si="3"/>
        <v>0.0</v>
      </c>
      <c r="H23" s="122">
        <f t="shared" si="3"/>
        <v>0.0</v>
      </c>
      <c r="I23" s="122">
        <f t="shared" si="3"/>
        <v>0.0</v>
      </c>
      <c r="J23" s="122">
        <f t="shared" si="3"/>
        <v>0.0</v>
      </c>
    </row>
    <row r="24" spans="8:8">
      <c r="A24" s="120"/>
      <c r="B24" s="120"/>
      <c r="C24" s="122"/>
      <c r="D24" s="122"/>
      <c r="E24" s="122"/>
      <c r="F24" s="122"/>
      <c r="G24" s="122"/>
      <c r="H24" s="122"/>
      <c r="I24" s="122"/>
      <c r="J24" s="122"/>
    </row>
    <row r="25" spans="8:8">
      <c r="A25" s="123" t="s">
        <v>143</v>
      </c>
      <c r="B25" s="123"/>
      <c r="C25" s="122"/>
      <c r="D25" s="122"/>
      <c r="E25" s="122"/>
      <c r="F25" s="122"/>
      <c r="G25" s="122"/>
      <c r="H25" s="122"/>
      <c r="I25" s="122"/>
      <c r="J25" s="122"/>
    </row>
    <row r="26" spans="8:8">
      <c r="A26" s="123" t="s">
        <v>314</v>
      </c>
      <c r="B26" s="123"/>
      <c r="C26" s="122"/>
      <c r="D26" s="122"/>
      <c r="E26" s="122"/>
      <c r="F26" s="122"/>
      <c r="G26" s="122"/>
      <c r="H26" s="122"/>
      <c r="I26" s="122"/>
      <c r="J26" s="122"/>
    </row>
    <row r="27" spans="8:8">
      <c r="A27" s="120" t="s">
        <v>305</v>
      </c>
      <c r="B27" s="79" t="s">
        <v>301</v>
      </c>
      <c r="C27" s="121">
        <v>15.0</v>
      </c>
      <c r="D27" s="122">
        <f t="shared" si="4" ref="D27:J27">$B$4*$C$27*D17*4</f>
        <v>0.0</v>
      </c>
      <c r="E27" s="122">
        <f t="shared" si="4"/>
        <v>0.0</v>
      </c>
      <c r="F27" s="122">
        <f t="shared" si="4"/>
        <v>0.0</v>
      </c>
      <c r="G27" s="122">
        <f t="shared" si="4"/>
        <v>0.0</v>
      </c>
      <c r="H27" s="122">
        <f t="shared" si="4"/>
        <v>0.0</v>
      </c>
      <c r="I27" s="122">
        <f t="shared" si="4"/>
        <v>0.0</v>
      </c>
      <c r="J27" s="122">
        <f t="shared" si="4"/>
        <v>0.0</v>
      </c>
    </row>
    <row r="28" spans="8:8">
      <c r="A28" s="120" t="s">
        <v>306</v>
      </c>
      <c r="B28" s="79" t="s">
        <v>301</v>
      </c>
      <c r="C28" s="121">
        <v>14.0</v>
      </c>
      <c r="D28" s="122">
        <f t="shared" si="5" ref="D28:J28">$B$4*$C$28*D17*12</f>
        <v>0.0</v>
      </c>
      <c r="E28" s="122">
        <f t="shared" si="5"/>
        <v>0.0</v>
      </c>
      <c r="F28" s="122">
        <f t="shared" si="5"/>
        <v>0.0</v>
      </c>
      <c r="G28" s="122">
        <f t="shared" si="5"/>
        <v>0.0</v>
      </c>
      <c r="H28" s="122">
        <f t="shared" si="5"/>
        <v>0.0</v>
      </c>
      <c r="I28" s="122">
        <f t="shared" si="5"/>
        <v>0.0</v>
      </c>
      <c r="J28" s="122">
        <f t="shared" si="5"/>
        <v>0.0</v>
      </c>
    </row>
    <row r="29" spans="8:8">
      <c r="A29" s="120" t="s">
        <v>307</v>
      </c>
      <c r="B29" s="79"/>
      <c r="C29" s="121">
        <f>B4*10</f>
        <v>0.0</v>
      </c>
      <c r="D29" s="122">
        <f>$C$29*12*D17</f>
        <v>0.0</v>
      </c>
      <c r="E29" s="122">
        <f t="shared" si="6" ref="E29:J29">$C$29*12*E17</f>
        <v>0.0</v>
      </c>
      <c r="F29" s="122">
        <f t="shared" si="6"/>
        <v>0.0</v>
      </c>
      <c r="G29" s="122">
        <f t="shared" si="6"/>
        <v>0.0</v>
      </c>
      <c r="H29" s="122">
        <f t="shared" si="6"/>
        <v>0.0</v>
      </c>
      <c r="I29" s="122">
        <f t="shared" si="6"/>
        <v>0.0</v>
      </c>
      <c r="J29" s="122">
        <f t="shared" si="6"/>
        <v>0.0</v>
      </c>
    </row>
    <row r="30" spans="8:8">
      <c r="A30" s="120"/>
      <c r="B30" s="79"/>
      <c r="C30" s="121"/>
      <c r="D30" s="122"/>
      <c r="E30" s="122"/>
      <c r="F30" s="122"/>
      <c r="G30" s="122"/>
      <c r="H30" s="122"/>
      <c r="I30" s="122"/>
      <c r="J30" s="122"/>
    </row>
    <row r="31" spans="8:8">
      <c r="A31" s="120"/>
      <c r="B31" s="79"/>
      <c r="C31" s="121"/>
      <c r="D31" s="122"/>
      <c r="E31" s="122"/>
      <c r="F31" s="122"/>
      <c r="G31" s="122"/>
      <c r="H31" s="122"/>
      <c r="I31" s="122"/>
      <c r="J31" s="122"/>
    </row>
    <row r="32" spans="8:8">
      <c r="A32" s="120"/>
      <c r="B32" s="79"/>
      <c r="C32" s="121"/>
      <c r="D32" s="122"/>
      <c r="E32" s="122"/>
      <c r="F32" s="122"/>
      <c r="G32" s="122"/>
      <c r="H32" s="122"/>
      <c r="I32" s="122"/>
      <c r="J32" s="122"/>
    </row>
    <row r="33" spans="8:8">
      <c r="A33" s="120"/>
      <c r="B33" s="79"/>
      <c r="C33" s="121"/>
      <c r="D33" s="122"/>
      <c r="E33" s="122"/>
      <c r="F33" s="122"/>
      <c r="G33" s="122"/>
      <c r="H33" s="122"/>
      <c r="I33" s="122"/>
      <c r="J33" s="122"/>
    </row>
    <row r="34" spans="8:8">
      <c r="A34" s="123" t="s">
        <v>325</v>
      </c>
      <c r="B34" s="84"/>
      <c r="C34" s="440"/>
      <c r="D34" s="124">
        <f>SUM(D27:D33)</f>
        <v>0.0</v>
      </c>
      <c r="E34" s="124">
        <f t="shared" si="7" ref="E34:J34">SUM(E27:E33)</f>
        <v>0.0</v>
      </c>
      <c r="F34" s="124">
        <f t="shared" si="7"/>
        <v>0.0</v>
      </c>
      <c r="G34" s="124">
        <f t="shared" si="7"/>
        <v>0.0</v>
      </c>
      <c r="H34" s="124">
        <f t="shared" si="7"/>
        <v>0.0</v>
      </c>
      <c r="I34" s="124">
        <f t="shared" si="7"/>
        <v>0.0</v>
      </c>
      <c r="J34" s="124">
        <f t="shared" si="7"/>
        <v>0.0</v>
      </c>
    </row>
    <row r="35" spans="8:8">
      <c r="A35" s="123"/>
      <c r="B35" s="84"/>
      <c r="C35" s="440"/>
      <c r="D35" s="124"/>
      <c r="E35" s="124"/>
      <c r="F35" s="124"/>
      <c r="G35" s="124"/>
      <c r="H35" s="124"/>
      <c r="I35" s="124"/>
      <c r="J35" s="124"/>
    </row>
    <row r="36" spans="8:8">
      <c r="A36" s="123" t="s">
        <v>312</v>
      </c>
      <c r="B36" s="79"/>
      <c r="C36" s="121"/>
      <c r="D36" s="122"/>
      <c r="E36" s="122"/>
      <c r="F36" s="122"/>
      <c r="G36" s="122"/>
      <c r="H36" s="122"/>
      <c r="I36" s="122"/>
      <c r="J36" s="122"/>
    </row>
    <row r="37" spans="8:8">
      <c r="A37" s="120" t="s">
        <v>327</v>
      </c>
      <c r="B37" s="79">
        <v>1.0</v>
      </c>
      <c r="C37" s="121"/>
      <c r="D37" s="122">
        <f>$B$37*$C$37*D17*12</f>
        <v>0.0</v>
      </c>
      <c r="E37" s="122">
        <f t="shared" si="8" ref="E37:J37">$B$37*$C$37*E17*12</f>
        <v>0.0</v>
      </c>
      <c r="F37" s="122">
        <f t="shared" si="8"/>
        <v>0.0</v>
      </c>
      <c r="G37" s="122">
        <f t="shared" si="8"/>
        <v>0.0</v>
      </c>
      <c r="H37" s="122">
        <f t="shared" si="8"/>
        <v>0.0</v>
      </c>
      <c r="I37" s="122">
        <f t="shared" si="8"/>
        <v>0.0</v>
      </c>
      <c r="J37" s="122">
        <f t="shared" si="8"/>
        <v>0.0</v>
      </c>
    </row>
    <row r="38" spans="8:8">
      <c r="A38" s="120"/>
      <c r="B38" s="79"/>
      <c r="C38" s="121"/>
      <c r="D38" s="122"/>
      <c r="E38" s="122"/>
      <c r="F38" s="122"/>
      <c r="G38" s="122"/>
      <c r="H38" s="122"/>
      <c r="I38" s="122"/>
      <c r="J38" s="122"/>
    </row>
    <row r="39" spans="8:8">
      <c r="A39" s="120"/>
      <c r="B39" s="79"/>
      <c r="C39" s="121"/>
      <c r="D39" s="122"/>
      <c r="E39" s="122"/>
      <c r="F39" s="122"/>
      <c r="G39" s="122"/>
      <c r="H39" s="122"/>
      <c r="I39" s="122"/>
      <c r="J39" s="122"/>
    </row>
    <row r="40" spans="8:8">
      <c r="A40" s="120"/>
      <c r="B40" s="79"/>
      <c r="C40" s="121"/>
      <c r="D40" s="122"/>
      <c r="E40" s="122"/>
      <c r="F40" s="122"/>
      <c r="G40" s="122"/>
      <c r="H40" s="122"/>
      <c r="I40" s="122"/>
      <c r="J40" s="122"/>
    </row>
    <row r="41" spans="8:8">
      <c r="A41" s="120"/>
      <c r="B41" s="79"/>
      <c r="C41" s="121"/>
      <c r="D41" s="122"/>
      <c r="E41" s="122"/>
      <c r="F41" s="122"/>
      <c r="G41" s="122"/>
      <c r="H41" s="122"/>
      <c r="I41" s="122"/>
      <c r="J41" s="122"/>
    </row>
    <row r="42" spans="8:8">
      <c r="A42" s="120"/>
      <c r="B42" s="79"/>
      <c r="C42" s="121"/>
      <c r="D42" s="122"/>
      <c r="E42" s="122"/>
      <c r="F42" s="122"/>
      <c r="G42" s="122"/>
      <c r="H42" s="122"/>
      <c r="I42" s="122"/>
      <c r="J42" s="122"/>
    </row>
    <row r="43" spans="8:8">
      <c r="A43" s="123" t="s">
        <v>329</v>
      </c>
      <c r="B43" s="123"/>
      <c r="C43" s="124"/>
      <c r="D43" s="124">
        <f>SUM(D37:D42)</f>
        <v>0.0</v>
      </c>
      <c r="E43" s="124">
        <f t="shared" si="9" ref="E43:J43">SUM(E37:E42)</f>
        <v>0.0</v>
      </c>
      <c r="F43" s="124">
        <f t="shared" si="9"/>
        <v>0.0</v>
      </c>
      <c r="G43" s="124">
        <f t="shared" si="9"/>
        <v>0.0</v>
      </c>
      <c r="H43" s="124">
        <f t="shared" si="9"/>
        <v>0.0</v>
      </c>
      <c r="I43" s="124">
        <f t="shared" si="9"/>
        <v>0.0</v>
      </c>
      <c r="J43" s="124">
        <f t="shared" si="9"/>
        <v>0.0</v>
      </c>
    </row>
    <row r="44" spans="8:8">
      <c r="A44" s="123"/>
      <c r="B44" s="123"/>
      <c r="C44" s="124"/>
      <c r="D44" s="124"/>
      <c r="E44" s="124"/>
      <c r="F44" s="124"/>
      <c r="G44" s="124"/>
      <c r="H44" s="124"/>
      <c r="I44" s="124"/>
      <c r="J44" s="124"/>
    </row>
    <row r="45" spans="8:8">
      <c r="A45" s="123" t="s">
        <v>130</v>
      </c>
      <c r="B45" s="123"/>
      <c r="C45" s="124"/>
      <c r="D45" s="124">
        <f>D34+D43</f>
        <v>0.0</v>
      </c>
      <c r="E45" s="124">
        <f t="shared" si="10" ref="E45:J45">E34+E43</f>
        <v>0.0</v>
      </c>
      <c r="F45" s="124">
        <f t="shared" si="10"/>
        <v>0.0</v>
      </c>
      <c r="G45" s="124">
        <f t="shared" si="10"/>
        <v>0.0</v>
      </c>
      <c r="H45" s="124">
        <f t="shared" si="10"/>
        <v>0.0</v>
      </c>
      <c r="I45" s="124">
        <f t="shared" si="10"/>
        <v>0.0</v>
      </c>
      <c r="J45" s="124">
        <f t="shared" si="10"/>
        <v>0.0</v>
      </c>
    </row>
    <row r="46" spans="8:8">
      <c r="A46" s="120"/>
      <c r="B46" s="120"/>
      <c r="C46" s="122"/>
      <c r="D46" s="122"/>
      <c r="E46" s="122"/>
      <c r="F46" s="122"/>
      <c r="G46" s="122"/>
      <c r="H46" s="122"/>
      <c r="I46" s="122"/>
      <c r="J46" s="122"/>
    </row>
    <row r="47" spans="8:8">
      <c r="A47" s="123" t="s">
        <v>129</v>
      </c>
      <c r="B47" s="123"/>
      <c r="C47" s="124"/>
      <c r="D47" s="124">
        <f t="shared" si="11" ref="D47:J47">D23-D45</f>
        <v>0.0</v>
      </c>
      <c r="E47" s="124">
        <f t="shared" si="11"/>
        <v>0.0</v>
      </c>
      <c r="F47" s="124">
        <f t="shared" si="11"/>
        <v>0.0</v>
      </c>
      <c r="G47" s="124">
        <f t="shared" si="11"/>
        <v>0.0</v>
      </c>
      <c r="H47" s="124">
        <f t="shared" si="11"/>
        <v>0.0</v>
      </c>
      <c r="I47" s="124">
        <f t="shared" si="11"/>
        <v>0.0</v>
      </c>
      <c r="J47" s="124">
        <f t="shared" si="11"/>
        <v>0.0</v>
      </c>
    </row>
    <row r="48" spans="8:8">
      <c r="A48" s="115"/>
      <c r="B48" s="115"/>
      <c r="C48" s="115"/>
      <c r="D48" s="115"/>
      <c r="E48" s="115"/>
      <c r="F48" s="115"/>
      <c r="G48" s="115"/>
      <c r="H48" s="115"/>
      <c r="I48" s="115"/>
      <c r="J48" s="115"/>
    </row>
    <row r="49" spans="8:8">
      <c r="A49" s="115"/>
    </row>
    <row r="51" spans="8:8">
      <c r="A51" s="49" t="s">
        <v>432</v>
      </c>
      <c r="B51" s="49"/>
      <c r="C51" s="49"/>
      <c r="D51" s="49"/>
      <c r="E51" s="49"/>
      <c r="F51" s="49"/>
      <c r="G51" s="49"/>
      <c r="H51" s="49"/>
      <c r="I51" s="49"/>
      <c r="J51" s="49"/>
    </row>
    <row r="53" spans="8:8">
      <c r="A53" t="s">
        <v>553</v>
      </c>
    </row>
    <row r="54" spans="8:8">
      <c r="A54">
        <v>1.0</v>
      </c>
      <c r="B54" t="s">
        <v>566</v>
      </c>
    </row>
    <row r="55" spans="8:8">
      <c r="A55">
        <v>2.0</v>
      </c>
      <c r="B55" t="s">
        <v>567</v>
      </c>
    </row>
    <row r="56" spans="8:8">
      <c r="A56">
        <v>3.0</v>
      </c>
      <c r="B56" s="115" t="s">
        <v>619</v>
      </c>
    </row>
  </sheetData>
  <mergeCells count="4">
    <mergeCell ref="A15:J15"/>
    <mergeCell ref="A51:J51"/>
    <mergeCell ref="A2:H2"/>
    <mergeCell ref="A3:H3"/>
  </mergeCells>
  <pageMargins left="0.44" right="0.21" top="0.75" bottom="0.75" header="0.3" footer="0.3"/>
  <pageSetup paperSize="9" scale="75"/>
</worksheet>
</file>

<file path=xl/worksheets/sheet16.xml><?xml version="1.0" encoding="utf-8"?>
<worksheet xmlns:r="http://schemas.openxmlformats.org/officeDocument/2006/relationships" xmlns="http://schemas.openxmlformats.org/spreadsheetml/2006/main">
  <dimension ref="A2:Q68"/>
  <sheetViews>
    <sheetView workbookViewId="0" zoomScale="80">
      <selection activeCell="D63" sqref="D63"/>
    </sheetView>
  </sheetViews>
  <sheetFormatPr defaultRowHeight="15.0" defaultColWidth="10"/>
  <cols>
    <col min="1" max="2" customWidth="1" width="29.425781" style="0"/>
    <col min="3" max="3" customWidth="1" width="12.140625" style="0"/>
    <col min="4" max="4" customWidth="1" bestFit="1" width="10.425781" style="0"/>
    <col min="5" max="5" customWidth="1" width="13.425781" style="0"/>
    <col min="6" max="6" customWidth="1" width="14.0" style="0"/>
    <col min="7" max="7" customWidth="1" width="13.425781" style="0"/>
    <col min="8" max="9" customWidth="1" width="14.0" style="0"/>
    <col min="10" max="11" customWidth="1" width="14.425781" style="0"/>
    <col min="12" max="12" customWidth="1" width="12.140625" style="0"/>
    <col min="13" max="13" customWidth="1" width="16.0" style="0"/>
    <col min="14" max="14" customWidth="1" width="23.140625" style="0"/>
    <col min="18" max="18" customWidth="1" bestFit="1" width="12.855469" style="0"/>
  </cols>
  <sheetData>
    <row r="3" spans="8:8" ht="18.75">
      <c r="A3" s="30" t="s">
        <v>609</v>
      </c>
      <c r="B3" s="30"/>
      <c r="C3" s="30"/>
      <c r="D3" s="30"/>
      <c r="E3" s="30"/>
      <c r="F3" s="30"/>
      <c r="G3" s="30"/>
      <c r="H3" s="30"/>
      <c r="I3" s="30"/>
      <c r="J3" s="30"/>
      <c r="K3" s="30"/>
      <c r="L3" s="30"/>
    </row>
    <row r="4" spans="8:8" ht="18.75">
      <c r="A4" s="30" t="s">
        <v>610</v>
      </c>
      <c r="B4" s="30"/>
      <c r="C4" s="30"/>
      <c r="D4" s="30"/>
      <c r="E4" s="30"/>
      <c r="F4" s="30"/>
      <c r="G4" s="30"/>
      <c r="H4" s="30"/>
      <c r="I4" s="30"/>
      <c r="J4" s="30"/>
      <c r="K4" s="30"/>
      <c r="L4" s="30"/>
    </row>
    <row r="5" spans="8:8">
      <c r="A5" s="115"/>
      <c r="B5" s="115"/>
      <c r="C5" s="115"/>
    </row>
    <row r="6" spans="8:8">
      <c r="A6" s="115"/>
      <c r="B6" s="115"/>
      <c r="C6" s="115"/>
    </row>
    <row r="7" spans="8:8" ht="45.0">
      <c r="A7" s="367" t="s">
        <v>146</v>
      </c>
      <c r="B7" s="381" t="s">
        <v>440</v>
      </c>
      <c r="C7" s="381" t="s">
        <v>448</v>
      </c>
      <c r="D7" s="381" t="s">
        <v>446</v>
      </c>
      <c r="E7" s="381" t="s">
        <v>447</v>
      </c>
      <c r="F7" s="381" t="s">
        <v>308</v>
      </c>
      <c r="G7" s="381" t="s">
        <v>449</v>
      </c>
      <c r="H7" s="381" t="s">
        <v>450</v>
      </c>
      <c r="I7" s="381" t="s">
        <v>451</v>
      </c>
      <c r="J7" s="467" t="s">
        <v>454</v>
      </c>
      <c r="K7" s="381" t="s">
        <v>452</v>
      </c>
      <c r="L7" s="467" t="s">
        <v>453</v>
      </c>
      <c r="M7" s="381" t="s">
        <v>456</v>
      </c>
    </row>
    <row r="8" spans="8:8">
      <c r="A8" s="468">
        <v>1.0</v>
      </c>
      <c r="B8" s="370" t="s">
        <v>441</v>
      </c>
      <c r="C8" s="370"/>
      <c r="D8" s="370"/>
      <c r="E8" s="370">
        <v>6.0</v>
      </c>
      <c r="F8" s="392">
        <f>D8*E8*C8</f>
        <v>0.0</v>
      </c>
      <c r="G8" s="370">
        <v>4.0</v>
      </c>
      <c r="H8" s="392">
        <f>F8/G8</f>
        <v>0.0</v>
      </c>
      <c r="I8" s="370">
        <v>12.0</v>
      </c>
      <c r="J8" s="392">
        <f>H8*I8</f>
        <v>0.0</v>
      </c>
      <c r="K8" s="370">
        <v>3000.0</v>
      </c>
      <c r="L8" s="370">
        <v>1.0</v>
      </c>
      <c r="M8" s="392">
        <f t="shared" si="0" ref="M8:M17">D8*L8</f>
        <v>0.0</v>
      </c>
    </row>
    <row r="9" spans="8:8">
      <c r="A9" s="468">
        <v>2.0</v>
      </c>
      <c r="B9" s="370" t="s">
        <v>442</v>
      </c>
      <c r="C9" s="370"/>
      <c r="D9" s="370"/>
      <c r="E9" s="370">
        <v>6.0</v>
      </c>
      <c r="F9" s="392">
        <f t="shared" si="1" ref="F9:F17">D9*E9*C9</f>
        <v>0.0</v>
      </c>
      <c r="G9" s="370">
        <v>2.0</v>
      </c>
      <c r="H9" s="392">
        <f>F9/G9</f>
        <v>0.0</v>
      </c>
      <c r="I9" s="370">
        <v>8.0</v>
      </c>
      <c r="J9" s="392">
        <f t="shared" si="2" ref="J9:J17">H9*I9</f>
        <v>0.0</v>
      </c>
      <c r="K9" s="370">
        <v>1800.0</v>
      </c>
      <c r="L9" s="370">
        <v>1.0</v>
      </c>
      <c r="M9" s="392">
        <f t="shared" si="0"/>
        <v>0.0</v>
      </c>
    </row>
    <row r="10" spans="8:8">
      <c r="A10" s="468">
        <v>3.0</v>
      </c>
      <c r="B10" s="370" t="s">
        <v>443</v>
      </c>
      <c r="C10" s="370"/>
      <c r="D10" s="370"/>
      <c r="E10" s="370">
        <v>6.0</v>
      </c>
      <c r="F10" s="392">
        <f t="shared" si="1"/>
        <v>0.0</v>
      </c>
      <c r="G10" s="370">
        <v>2.0</v>
      </c>
      <c r="H10" s="392">
        <f>F10/G10</f>
        <v>0.0</v>
      </c>
      <c r="I10" s="370">
        <v>8.0</v>
      </c>
      <c r="J10" s="392">
        <f t="shared" si="2"/>
        <v>0.0</v>
      </c>
      <c r="K10" s="370">
        <v>1800.0</v>
      </c>
      <c r="L10" s="370">
        <v>1.0</v>
      </c>
      <c r="M10" s="392">
        <f t="shared" si="0"/>
        <v>0.0</v>
      </c>
    </row>
    <row r="11" spans="8:8">
      <c r="A11" s="468">
        <v>4.0</v>
      </c>
      <c r="B11" s="370" t="s">
        <v>444</v>
      </c>
      <c r="C11" s="370"/>
      <c r="D11" s="370"/>
      <c r="E11" s="370">
        <v>6.0</v>
      </c>
      <c r="F11" s="392">
        <f t="shared" si="1"/>
        <v>0.0</v>
      </c>
      <c r="G11" s="370">
        <v>2.0</v>
      </c>
      <c r="H11" s="392">
        <f>F11/G11</f>
        <v>0.0</v>
      </c>
      <c r="I11" s="370">
        <v>4.0</v>
      </c>
      <c r="J11" s="392">
        <f t="shared" si="2"/>
        <v>0.0</v>
      </c>
      <c r="K11" s="370">
        <v>1200.0</v>
      </c>
      <c r="L11" s="370">
        <v>1.0</v>
      </c>
      <c r="M11" s="392">
        <f t="shared" si="0"/>
        <v>0.0</v>
      </c>
    </row>
    <row r="12" spans="8:8">
      <c r="A12" s="468">
        <v>5.0</v>
      </c>
      <c r="B12" s="370" t="s">
        <v>445</v>
      </c>
      <c r="C12" s="370"/>
      <c r="D12" s="370"/>
      <c r="E12" s="370">
        <v>6.0</v>
      </c>
      <c r="F12" s="392">
        <f t="shared" si="1"/>
        <v>0.0</v>
      </c>
      <c r="G12" s="370">
        <v>2.0</v>
      </c>
      <c r="H12" s="392">
        <f>F12/G12</f>
        <v>0.0</v>
      </c>
      <c r="I12" s="370">
        <v>10.0</v>
      </c>
      <c r="J12" s="392">
        <f t="shared" si="2"/>
        <v>0.0</v>
      </c>
      <c r="K12" s="370">
        <v>3000.0</v>
      </c>
      <c r="L12" s="370">
        <v>1.0</v>
      </c>
      <c r="M12" s="392">
        <f t="shared" si="0"/>
        <v>0.0</v>
      </c>
    </row>
    <row r="13" spans="8:8">
      <c r="A13" s="468">
        <v>6.0</v>
      </c>
      <c r="B13" s="206"/>
      <c r="C13" s="206"/>
      <c r="D13" s="206"/>
      <c r="E13" s="206"/>
      <c r="F13" s="392">
        <f t="shared" si="1"/>
        <v>0.0</v>
      </c>
      <c r="G13" s="206">
        <v>0.0</v>
      </c>
      <c r="H13" s="370"/>
      <c r="I13" s="206"/>
      <c r="J13" s="392">
        <f t="shared" si="2"/>
        <v>0.0</v>
      </c>
      <c r="K13" s="206"/>
      <c r="L13" s="392"/>
      <c r="M13" s="392">
        <f t="shared" si="0"/>
        <v>0.0</v>
      </c>
    </row>
    <row r="14" spans="8:8">
      <c r="A14" s="468">
        <v>7.0</v>
      </c>
      <c r="B14" s="206"/>
      <c r="C14" s="206"/>
      <c r="D14" s="206"/>
      <c r="E14" s="206"/>
      <c r="F14" s="392">
        <f t="shared" si="1"/>
        <v>0.0</v>
      </c>
      <c r="G14" s="206">
        <v>0.0</v>
      </c>
      <c r="H14" s="370"/>
      <c r="I14" s="206"/>
      <c r="J14" s="392">
        <f t="shared" si="2"/>
        <v>0.0</v>
      </c>
      <c r="K14" s="206"/>
      <c r="L14" s="392"/>
      <c r="M14" s="392">
        <f t="shared" si="0"/>
        <v>0.0</v>
      </c>
    </row>
    <row r="15" spans="8:8">
      <c r="A15" s="468">
        <v>8.0</v>
      </c>
      <c r="B15" s="206"/>
      <c r="C15" s="206"/>
      <c r="D15" s="206"/>
      <c r="E15" s="206"/>
      <c r="F15" s="392">
        <f t="shared" si="1"/>
        <v>0.0</v>
      </c>
      <c r="G15" s="206">
        <v>0.0</v>
      </c>
      <c r="H15" s="370"/>
      <c r="I15" s="206"/>
      <c r="J15" s="392">
        <f t="shared" si="2"/>
        <v>0.0</v>
      </c>
      <c r="K15" s="206"/>
      <c r="L15" s="392"/>
      <c r="M15" s="392">
        <f t="shared" si="0"/>
        <v>0.0</v>
      </c>
    </row>
    <row r="16" spans="8:8">
      <c r="A16" s="468">
        <v>9.0</v>
      </c>
      <c r="B16" s="206"/>
      <c r="C16" s="206"/>
      <c r="D16" s="206"/>
      <c r="E16" s="206"/>
      <c r="F16" s="392">
        <f t="shared" si="1"/>
        <v>0.0</v>
      </c>
      <c r="G16" s="206">
        <v>0.0</v>
      </c>
      <c r="H16" s="370"/>
      <c r="I16" s="206"/>
      <c r="J16" s="392">
        <f t="shared" si="2"/>
        <v>0.0</v>
      </c>
      <c r="K16" s="206"/>
      <c r="L16" s="392"/>
      <c r="M16" s="392">
        <f t="shared" si="0"/>
        <v>0.0</v>
      </c>
    </row>
    <row r="17" spans="8:8">
      <c r="A17" s="468">
        <v>10.0</v>
      </c>
      <c r="B17" s="206"/>
      <c r="C17" s="206"/>
      <c r="D17" s="206"/>
      <c r="E17" s="206"/>
      <c r="F17" s="392">
        <f t="shared" si="1"/>
        <v>0.0</v>
      </c>
      <c r="G17" s="206">
        <v>0.0</v>
      </c>
      <c r="H17" s="370"/>
      <c r="I17" s="206"/>
      <c r="J17" s="392">
        <f t="shared" si="2"/>
        <v>0.0</v>
      </c>
      <c r="K17" s="206"/>
      <c r="L17" s="392"/>
      <c r="M17" s="392">
        <f t="shared" si="0"/>
        <v>0.0</v>
      </c>
    </row>
    <row r="18" spans="8:8">
      <c r="A18" s="183"/>
      <c r="B18" s="183"/>
      <c r="C18" s="409"/>
      <c r="D18" s="409"/>
      <c r="E18" s="409"/>
      <c r="F18" s="409"/>
      <c r="G18" s="409"/>
      <c r="H18" s="409"/>
      <c r="I18" s="409"/>
      <c r="J18" s="409"/>
      <c r="K18" s="409"/>
      <c r="L18" s="409"/>
      <c r="M18" s="469"/>
    </row>
    <row r="19" spans="8:8">
      <c r="A19" s="183"/>
      <c r="B19" s="183"/>
      <c r="C19" s="409"/>
      <c r="D19" s="409"/>
      <c r="E19" s="409"/>
      <c r="F19" s="409"/>
      <c r="G19" s="409"/>
      <c r="H19" s="409"/>
      <c r="I19" s="409"/>
      <c r="J19" s="409"/>
      <c r="K19" s="409"/>
      <c r="L19" s="409"/>
      <c r="M19" s="469"/>
    </row>
    <row r="21" spans="8:8" ht="18.75">
      <c r="A21" s="30" t="s">
        <v>611</v>
      </c>
      <c r="B21" s="30"/>
      <c r="C21" s="30"/>
      <c r="D21" s="30"/>
      <c r="E21" s="30"/>
      <c r="F21" s="30"/>
      <c r="G21" s="30"/>
      <c r="H21" s="30"/>
      <c r="I21" s="30"/>
      <c r="J21" s="30"/>
      <c r="K21" s="30"/>
    </row>
    <row r="23" spans="8:8">
      <c r="A23" s="115"/>
      <c r="B23" s="115"/>
      <c r="C23" s="115"/>
      <c r="D23" s="115"/>
      <c r="E23" s="116">
        <v>1.0</v>
      </c>
      <c r="F23" s="117">
        <f>(E23*5%)+E23</f>
        <v>1.05</v>
      </c>
      <c r="G23" s="117">
        <f t="shared" si="3" ref="G23:K23">(F23*5%)+F23</f>
        <v>1.1025</v>
      </c>
      <c r="H23" s="117">
        <f t="shared" si="3"/>
        <v>1.1576250000000001</v>
      </c>
      <c r="I23" s="117">
        <f t="shared" si="3"/>
        <v>1.21550625</v>
      </c>
      <c r="J23" s="117">
        <f t="shared" si="3"/>
        <v>1.2762815625</v>
      </c>
      <c r="K23" s="117">
        <f t="shared" si="3"/>
        <v>1.340095640625</v>
      </c>
    </row>
    <row r="24" spans="8:8">
      <c r="A24" s="118" t="s">
        <v>0</v>
      </c>
      <c r="B24" s="118" t="s">
        <v>133</v>
      </c>
      <c r="C24" s="118" t="s">
        <v>147</v>
      </c>
      <c r="D24" s="118" t="s">
        <v>152</v>
      </c>
      <c r="E24" s="119" t="s">
        <v>2</v>
      </c>
      <c r="F24" s="119" t="s">
        <v>3</v>
      </c>
      <c r="G24" s="119" t="s">
        <v>4</v>
      </c>
      <c r="H24" s="119" t="s">
        <v>5</v>
      </c>
      <c r="I24" s="119" t="s">
        <v>6</v>
      </c>
      <c r="J24" s="119" t="s">
        <v>169</v>
      </c>
      <c r="K24" s="119" t="s">
        <v>168</v>
      </c>
    </row>
    <row r="25" spans="8:8">
      <c r="A25" s="123"/>
      <c r="B25" s="123"/>
      <c r="C25" s="123"/>
      <c r="D25" s="123"/>
      <c r="E25" s="120"/>
      <c r="F25" s="120"/>
      <c r="G25" s="120"/>
      <c r="H25" s="120"/>
      <c r="I25" s="120"/>
      <c r="J25" s="120"/>
      <c r="K25" s="120"/>
    </row>
    <row r="26" spans="8:8">
      <c r="A26" s="123" t="s">
        <v>127</v>
      </c>
      <c r="B26" s="123"/>
      <c r="C26" s="123"/>
      <c r="D26" s="123"/>
      <c r="E26" s="120"/>
      <c r="F26" s="120"/>
      <c r="G26" s="120"/>
      <c r="H26" s="120"/>
      <c r="I26" s="120"/>
      <c r="J26" s="120"/>
      <c r="K26" s="120"/>
      <c r="P26" s="115"/>
    </row>
    <row r="27" spans="8:8">
      <c r="A27" s="459" t="s">
        <v>458</v>
      </c>
      <c r="B27" s="321"/>
      <c r="C27" s="470"/>
      <c r="D27" s="470"/>
      <c r="E27" s="122"/>
      <c r="F27" s="122"/>
      <c r="G27" s="122"/>
      <c r="H27" s="122"/>
      <c r="I27" s="122"/>
      <c r="J27" s="122"/>
      <c r="K27" s="122"/>
      <c r="P27" s="115"/>
    </row>
    <row r="28" spans="8:8">
      <c r="A28" s="321" t="str">
        <f>B8</f>
        <v>Double Plough</v>
      </c>
      <c r="B28" s="321"/>
      <c r="C28" s="470">
        <f>H8</f>
        <v>0.0</v>
      </c>
      <c r="D28" s="470">
        <f>K8</f>
        <v>3000.0</v>
      </c>
      <c r="E28" s="122">
        <f>$C$28*$D$28*E23</f>
        <v>0.0</v>
      </c>
      <c r="F28" s="122">
        <f t="shared" si="4" ref="F28:K28">$C$28*$D$28*F23</f>
        <v>0.0</v>
      </c>
      <c r="G28" s="122">
        <f t="shared" si="4"/>
        <v>0.0</v>
      </c>
      <c r="H28" s="122">
        <f t="shared" si="4"/>
        <v>0.0</v>
      </c>
      <c r="I28" s="122">
        <f t="shared" si="4"/>
        <v>0.0</v>
      </c>
      <c r="J28" s="122">
        <f t="shared" si="4"/>
        <v>0.0</v>
      </c>
      <c r="K28" s="122">
        <f t="shared" si="4"/>
        <v>0.0</v>
      </c>
      <c r="P28" s="115"/>
    </row>
    <row r="29" spans="8:8">
      <c r="A29" s="321" t="str">
        <f>B9</f>
        <v>Cultivator</v>
      </c>
      <c r="B29" s="321"/>
      <c r="C29" s="470">
        <f t="shared" si="5" ref="C29:C38">H9</f>
        <v>0.0</v>
      </c>
      <c r="D29" s="470">
        <f>K9</f>
        <v>1800.0</v>
      </c>
      <c r="E29" s="122">
        <f>$C$29*$D$29*E23</f>
        <v>0.0</v>
      </c>
      <c r="F29" s="122">
        <f t="shared" si="6" ref="F29:K29">$C$29*$D$29*F23</f>
        <v>0.0</v>
      </c>
      <c r="G29" s="122">
        <f t="shared" si="6"/>
        <v>0.0</v>
      </c>
      <c r="H29" s="122">
        <f t="shared" si="6"/>
        <v>0.0</v>
      </c>
      <c r="I29" s="122">
        <f t="shared" si="6"/>
        <v>0.0</v>
      </c>
      <c r="J29" s="122">
        <f t="shared" si="6"/>
        <v>0.0</v>
      </c>
      <c r="K29" s="122">
        <f t="shared" si="6"/>
        <v>0.0</v>
      </c>
      <c r="P29" s="115"/>
    </row>
    <row r="30" spans="8:8">
      <c r="A30" s="321" t="str">
        <f>B10</f>
        <v>Rotavator</v>
      </c>
      <c r="B30" s="321"/>
      <c r="C30" s="470">
        <f t="shared" si="5"/>
        <v>0.0</v>
      </c>
      <c r="D30" s="470">
        <f>K10</f>
        <v>1800.0</v>
      </c>
      <c r="E30" s="122">
        <f>$C$30*$D$30*E23</f>
        <v>0.0</v>
      </c>
      <c r="F30" s="122">
        <f t="shared" si="7" ref="F30:K30">$C$30*$D$30*F23</f>
        <v>0.0</v>
      </c>
      <c r="G30" s="122">
        <f t="shared" si="7"/>
        <v>0.0</v>
      </c>
      <c r="H30" s="122">
        <f t="shared" si="7"/>
        <v>0.0</v>
      </c>
      <c r="I30" s="122">
        <f t="shared" si="7"/>
        <v>0.0</v>
      </c>
      <c r="J30" s="122">
        <f t="shared" si="7"/>
        <v>0.0</v>
      </c>
      <c r="K30" s="122">
        <f t="shared" si="7"/>
        <v>0.0</v>
      </c>
      <c r="P30" s="115"/>
    </row>
    <row r="31" spans="8:8">
      <c r="A31" s="321" t="str">
        <f>B11</f>
        <v>BBF Seed Sowing Machine</v>
      </c>
      <c r="B31" s="321"/>
      <c r="C31" s="470">
        <f t="shared" si="5"/>
        <v>0.0</v>
      </c>
      <c r="D31" s="470">
        <f>K11</f>
        <v>1200.0</v>
      </c>
      <c r="E31" s="122">
        <f>$C$31*$D$31*E23</f>
        <v>0.0</v>
      </c>
      <c r="F31" s="122">
        <f t="shared" si="8" ref="F31:K31">$C$31*$D$31*F23</f>
        <v>0.0</v>
      </c>
      <c r="G31" s="122">
        <f t="shared" si="8"/>
        <v>0.0</v>
      </c>
      <c r="H31" s="122">
        <f t="shared" si="8"/>
        <v>0.0</v>
      </c>
      <c r="I31" s="122">
        <f t="shared" si="8"/>
        <v>0.0</v>
      </c>
      <c r="J31" s="122">
        <f t="shared" si="8"/>
        <v>0.0</v>
      </c>
      <c r="K31" s="122">
        <f t="shared" si="8"/>
        <v>0.0</v>
      </c>
      <c r="P31" s="115"/>
    </row>
    <row r="32" spans="8:8">
      <c r="A32" s="321" t="str">
        <f>B12</f>
        <v>Mobile Threshing</v>
      </c>
      <c r="B32" s="321"/>
      <c r="C32" s="470">
        <f t="shared" si="5"/>
        <v>0.0</v>
      </c>
      <c r="D32" s="470">
        <f>K12</f>
        <v>3000.0</v>
      </c>
      <c r="E32" s="122">
        <f>$C$32*$D$32*E23</f>
        <v>0.0</v>
      </c>
      <c r="F32" s="122">
        <f t="shared" si="9" ref="F32:K32">$C$32*$D$32*F23</f>
        <v>0.0</v>
      </c>
      <c r="G32" s="122">
        <f t="shared" si="9"/>
        <v>0.0</v>
      </c>
      <c r="H32" s="122">
        <f t="shared" si="9"/>
        <v>0.0</v>
      </c>
      <c r="I32" s="122">
        <f t="shared" si="9"/>
        <v>0.0</v>
      </c>
      <c r="J32" s="122">
        <f t="shared" si="9"/>
        <v>0.0</v>
      </c>
      <c r="K32" s="122">
        <f t="shared" si="9"/>
        <v>0.0</v>
      </c>
      <c r="P32" s="115"/>
    </row>
    <row r="33" spans="8:8">
      <c r="A33" s="321"/>
      <c r="B33" s="321"/>
      <c r="C33" s="470">
        <f t="shared" si="5"/>
        <v>0.0</v>
      </c>
      <c r="D33" s="470">
        <f t="shared" si="10" ref="D33:D38">K13</f>
        <v>0.0</v>
      </c>
      <c r="E33" s="122">
        <f>$C$33*$D$33*E23</f>
        <v>0.0</v>
      </c>
      <c r="F33" s="122">
        <f t="shared" si="11" ref="F33:K33">$C$33*$D$33*F23</f>
        <v>0.0</v>
      </c>
      <c r="G33" s="122">
        <f t="shared" si="11"/>
        <v>0.0</v>
      </c>
      <c r="H33" s="122">
        <f t="shared" si="11"/>
        <v>0.0</v>
      </c>
      <c r="I33" s="122">
        <f t="shared" si="11"/>
        <v>0.0</v>
      </c>
      <c r="J33" s="122">
        <f t="shared" si="11"/>
        <v>0.0</v>
      </c>
      <c r="K33" s="122">
        <f t="shared" si="11"/>
        <v>0.0</v>
      </c>
      <c r="P33" s="115"/>
    </row>
    <row r="34" spans="8:8">
      <c r="A34" s="321"/>
      <c r="B34" s="321"/>
      <c r="C34" s="470">
        <f t="shared" si="5"/>
        <v>0.0</v>
      </c>
      <c r="D34" s="470">
        <f t="shared" si="10"/>
        <v>0.0</v>
      </c>
      <c r="E34" s="122">
        <f>$C$34*$D$34*E23</f>
        <v>0.0</v>
      </c>
      <c r="F34" s="122">
        <f t="shared" si="12" ref="F34:K34">$C$34*$D$34*F23</f>
        <v>0.0</v>
      </c>
      <c r="G34" s="122">
        <f t="shared" si="12"/>
        <v>0.0</v>
      </c>
      <c r="H34" s="122">
        <f t="shared" si="12"/>
        <v>0.0</v>
      </c>
      <c r="I34" s="122">
        <f t="shared" si="12"/>
        <v>0.0</v>
      </c>
      <c r="J34" s="122">
        <f t="shared" si="12"/>
        <v>0.0</v>
      </c>
      <c r="K34" s="122">
        <f t="shared" si="12"/>
        <v>0.0</v>
      </c>
      <c r="P34" s="115"/>
    </row>
    <row r="35" spans="8:8">
      <c r="A35" s="321"/>
      <c r="B35" s="321"/>
      <c r="C35" s="470">
        <f t="shared" si="5"/>
        <v>0.0</v>
      </c>
      <c r="D35" s="470">
        <f t="shared" si="10"/>
        <v>0.0</v>
      </c>
      <c r="E35" s="122">
        <f>$C$35*$D$35*E23</f>
        <v>0.0</v>
      </c>
      <c r="F35" s="122">
        <f t="shared" si="13" ref="F35:K35">$C$35*$D$35*F23</f>
        <v>0.0</v>
      </c>
      <c r="G35" s="122">
        <f t="shared" si="13"/>
        <v>0.0</v>
      </c>
      <c r="H35" s="122">
        <f t="shared" si="13"/>
        <v>0.0</v>
      </c>
      <c r="I35" s="122">
        <f t="shared" si="13"/>
        <v>0.0</v>
      </c>
      <c r="J35" s="122">
        <f t="shared" si="13"/>
        <v>0.0</v>
      </c>
      <c r="K35" s="122">
        <f t="shared" si="13"/>
        <v>0.0</v>
      </c>
      <c r="P35" s="115"/>
    </row>
    <row r="36" spans="8:8">
      <c r="A36" s="321"/>
      <c r="B36" s="321"/>
      <c r="C36" s="470">
        <f t="shared" si="5"/>
        <v>0.0</v>
      </c>
      <c r="D36" s="470">
        <f t="shared" si="10"/>
        <v>0.0</v>
      </c>
      <c r="E36" s="122">
        <f>$C$36*$D$36*E23</f>
        <v>0.0</v>
      </c>
      <c r="F36" s="122">
        <f t="shared" si="14" ref="F36:K36">$C$36*$D$36*F23</f>
        <v>0.0</v>
      </c>
      <c r="G36" s="122">
        <f t="shared" si="14"/>
        <v>0.0</v>
      </c>
      <c r="H36" s="122">
        <f t="shared" si="14"/>
        <v>0.0</v>
      </c>
      <c r="I36" s="122">
        <f t="shared" si="14"/>
        <v>0.0</v>
      </c>
      <c r="J36" s="122">
        <f t="shared" si="14"/>
        <v>0.0</v>
      </c>
      <c r="K36" s="122">
        <f t="shared" si="14"/>
        <v>0.0</v>
      </c>
      <c r="P36" s="115"/>
    </row>
    <row r="37" spans="8:8">
      <c r="A37" s="321"/>
      <c r="B37" s="321"/>
      <c r="C37" s="470">
        <f t="shared" si="5"/>
        <v>0.0</v>
      </c>
      <c r="D37" s="470">
        <f t="shared" si="10"/>
        <v>0.0</v>
      </c>
      <c r="E37" s="122">
        <f>$C$37*$D$37*E23</f>
        <v>0.0</v>
      </c>
      <c r="F37" s="122">
        <f t="shared" si="15" ref="F37:K37">$C$37*$D$37*F23</f>
        <v>0.0</v>
      </c>
      <c r="G37" s="122">
        <f t="shared" si="15"/>
        <v>0.0</v>
      </c>
      <c r="H37" s="122">
        <f t="shared" si="15"/>
        <v>0.0</v>
      </c>
      <c r="I37" s="122">
        <f t="shared" si="15"/>
        <v>0.0</v>
      </c>
      <c r="J37" s="122">
        <f t="shared" si="15"/>
        <v>0.0</v>
      </c>
      <c r="K37" s="122">
        <f t="shared" si="15"/>
        <v>0.0</v>
      </c>
      <c r="P37" s="115"/>
    </row>
    <row r="38" spans="8:8">
      <c r="A38" s="123"/>
      <c r="B38" s="123"/>
      <c r="C38" s="470">
        <f t="shared" si="5"/>
        <v>0.0</v>
      </c>
      <c r="D38" s="470">
        <f t="shared" si="10"/>
        <v>0.0</v>
      </c>
      <c r="E38" s="122">
        <f>$C$38*$D$38*E23</f>
        <v>0.0</v>
      </c>
      <c r="F38" s="122">
        <f t="shared" si="16" ref="F38:K38">$C$38*$D$38*F23</f>
        <v>0.0</v>
      </c>
      <c r="G38" s="122">
        <f t="shared" si="16"/>
        <v>0.0</v>
      </c>
      <c r="H38" s="122">
        <f t="shared" si="16"/>
        <v>0.0</v>
      </c>
      <c r="I38" s="122">
        <f t="shared" si="16"/>
        <v>0.0</v>
      </c>
      <c r="J38" s="122">
        <f t="shared" si="16"/>
        <v>0.0</v>
      </c>
      <c r="K38" s="122">
        <f t="shared" si="16"/>
        <v>0.0</v>
      </c>
      <c r="P38" s="115"/>
    </row>
    <row r="39" spans="8:8">
      <c r="A39" s="123" t="s">
        <v>144</v>
      </c>
      <c r="B39" s="123"/>
      <c r="C39" s="348"/>
      <c r="D39" s="348"/>
      <c r="E39" s="122">
        <f>SUM(E28:E38)</f>
        <v>0.0</v>
      </c>
      <c r="F39" s="122">
        <f t="shared" si="17" ref="F39:K39">SUM(F28:F38)</f>
        <v>0.0</v>
      </c>
      <c r="G39" s="122">
        <f t="shared" si="17"/>
        <v>0.0</v>
      </c>
      <c r="H39" s="122">
        <f t="shared" si="17"/>
        <v>0.0</v>
      </c>
      <c r="I39" s="122">
        <f t="shared" si="17"/>
        <v>0.0</v>
      </c>
      <c r="J39" s="122">
        <f t="shared" si="17"/>
        <v>0.0</v>
      </c>
      <c r="K39" s="122">
        <f t="shared" si="17"/>
        <v>0.0</v>
      </c>
      <c r="P39" s="115"/>
    </row>
    <row r="40" spans="8:8">
      <c r="A40" s="120"/>
      <c r="B40" s="120"/>
      <c r="C40" s="136"/>
      <c r="D40" s="136"/>
      <c r="E40" s="122"/>
      <c r="F40" s="122"/>
      <c r="G40" s="122"/>
      <c r="H40" s="122"/>
      <c r="I40" s="122"/>
      <c r="J40" s="122"/>
      <c r="K40" s="122"/>
      <c r="P40" s="115"/>
    </row>
    <row r="41" spans="8:8">
      <c r="A41" s="123" t="s">
        <v>143</v>
      </c>
      <c r="B41" s="123"/>
      <c r="C41" s="348"/>
      <c r="D41" s="348"/>
      <c r="E41" s="122"/>
      <c r="F41" s="122"/>
      <c r="G41" s="122"/>
      <c r="H41" s="122"/>
      <c r="I41" s="122"/>
      <c r="J41" s="122"/>
      <c r="K41" s="122"/>
      <c r="P41" s="115"/>
    </row>
    <row r="42" spans="8:8">
      <c r="A42" s="123" t="s">
        <v>309</v>
      </c>
      <c r="B42" s="123"/>
      <c r="C42" s="348"/>
      <c r="D42" s="348"/>
      <c r="E42" s="122"/>
      <c r="F42" s="122"/>
      <c r="G42" s="122"/>
      <c r="H42" s="122"/>
      <c r="I42" s="122"/>
      <c r="J42" s="122"/>
      <c r="K42" s="122"/>
    </row>
    <row r="43" spans="8:8">
      <c r="A43" s="120" t="s">
        <v>310</v>
      </c>
      <c r="B43" s="120" t="s">
        <v>455</v>
      </c>
      <c r="C43" s="136">
        <f>SUM(J8:J17)</f>
        <v>0.0</v>
      </c>
      <c r="D43" s="79">
        <v>100.0</v>
      </c>
      <c r="E43" s="122">
        <f>$C$43*$D$43*E23</f>
        <v>0.0</v>
      </c>
      <c r="F43" s="122">
        <f t="shared" si="18" ref="F43:K43">$C$43*$D$43*F23</f>
        <v>0.0</v>
      </c>
      <c r="G43" s="122">
        <f t="shared" si="18"/>
        <v>0.0</v>
      </c>
      <c r="H43" s="122">
        <f t="shared" si="18"/>
        <v>0.0</v>
      </c>
      <c r="I43" s="122">
        <f t="shared" si="18"/>
        <v>0.0</v>
      </c>
      <c r="J43" s="122">
        <f t="shared" si="18"/>
        <v>0.0</v>
      </c>
      <c r="K43" s="122">
        <f t="shared" si="18"/>
        <v>0.0</v>
      </c>
    </row>
    <row r="44" spans="8:8">
      <c r="A44" s="120" t="s">
        <v>311</v>
      </c>
      <c r="B44" s="120" t="s">
        <v>457</v>
      </c>
      <c r="C44" s="136">
        <f>SUM(M8:M17)</f>
        <v>0.0</v>
      </c>
      <c r="D44" s="79">
        <v>300.0</v>
      </c>
      <c r="E44" s="122">
        <f>$C$44*$D$44*E23</f>
        <v>0.0</v>
      </c>
      <c r="F44" s="122">
        <f t="shared" si="19" ref="F44:K44">$C$44*$D$44*F23</f>
        <v>0.0</v>
      </c>
      <c r="G44" s="122">
        <f t="shared" si="19"/>
        <v>0.0</v>
      </c>
      <c r="H44" s="122">
        <f t="shared" si="19"/>
        <v>0.0</v>
      </c>
      <c r="I44" s="122">
        <f t="shared" si="19"/>
        <v>0.0</v>
      </c>
      <c r="J44" s="122">
        <f t="shared" si="19"/>
        <v>0.0</v>
      </c>
      <c r="K44" s="122">
        <f t="shared" si="19"/>
        <v>0.0</v>
      </c>
    </row>
    <row r="45" spans="8:8">
      <c r="A45" s="120"/>
      <c r="B45" s="120"/>
      <c r="C45" s="79"/>
      <c r="D45" s="79"/>
      <c r="E45" s="122"/>
      <c r="F45" s="122"/>
      <c r="G45" s="122"/>
      <c r="H45" s="122"/>
      <c r="I45" s="122"/>
      <c r="J45" s="122"/>
      <c r="K45" s="122"/>
    </row>
    <row r="46" spans="8:8">
      <c r="A46" s="120"/>
      <c r="B46" s="120"/>
      <c r="C46" s="79"/>
      <c r="D46" s="79"/>
      <c r="E46" s="122"/>
      <c r="F46" s="122"/>
      <c r="G46" s="122"/>
      <c r="H46" s="122"/>
      <c r="I46" s="122"/>
      <c r="J46" s="122"/>
      <c r="K46" s="122"/>
    </row>
    <row r="47" spans="8:8">
      <c r="A47" s="120"/>
      <c r="B47" s="120"/>
      <c r="C47" s="79"/>
      <c r="D47" s="79"/>
      <c r="E47" s="122"/>
      <c r="F47" s="122"/>
      <c r="G47" s="122"/>
      <c r="H47" s="122"/>
      <c r="I47" s="122"/>
      <c r="J47" s="122"/>
      <c r="K47" s="122"/>
    </row>
    <row r="48" spans="8:8">
      <c r="A48" s="120"/>
      <c r="B48" s="120"/>
      <c r="C48" s="79"/>
      <c r="D48" s="79"/>
      <c r="E48" s="122"/>
      <c r="F48" s="122"/>
      <c r="G48" s="122"/>
      <c r="H48" s="122"/>
      <c r="I48" s="122"/>
      <c r="J48" s="122"/>
      <c r="K48" s="122"/>
    </row>
    <row r="49" spans="8:8">
      <c r="A49" s="123" t="s">
        <v>325</v>
      </c>
      <c r="B49" s="123"/>
      <c r="C49" s="84"/>
      <c r="D49" s="84"/>
      <c r="E49" s="124">
        <f>SUM(E43:E48)</f>
        <v>0.0</v>
      </c>
      <c r="F49" s="124">
        <f t="shared" si="20" ref="F49:K49">SUM(F43:F48)</f>
        <v>0.0</v>
      </c>
      <c r="G49" s="124">
        <f t="shared" si="20"/>
        <v>0.0</v>
      </c>
      <c r="H49" s="124">
        <f t="shared" si="20"/>
        <v>0.0</v>
      </c>
      <c r="I49" s="124">
        <f t="shared" si="20"/>
        <v>0.0</v>
      </c>
      <c r="J49" s="124">
        <f t="shared" si="20"/>
        <v>0.0</v>
      </c>
      <c r="K49" s="124">
        <f t="shared" si="20"/>
        <v>0.0</v>
      </c>
    </row>
    <row r="50" spans="8:8">
      <c r="A50" s="123"/>
      <c r="B50" s="123"/>
      <c r="C50" s="84"/>
      <c r="D50" s="84"/>
      <c r="E50" s="124"/>
      <c r="F50" s="124"/>
      <c r="G50" s="124"/>
      <c r="H50" s="124"/>
      <c r="I50" s="124"/>
      <c r="J50" s="124"/>
      <c r="K50" s="124"/>
    </row>
    <row r="51" spans="8:8">
      <c r="A51" s="459" t="s">
        <v>312</v>
      </c>
      <c r="B51" s="459"/>
      <c r="C51" s="457"/>
      <c r="D51" s="457"/>
      <c r="E51" s="122"/>
      <c r="F51" s="122"/>
      <c r="G51" s="122"/>
      <c r="H51" s="122"/>
      <c r="I51" s="122"/>
      <c r="J51" s="122"/>
      <c r="K51" s="122"/>
    </row>
    <row r="52" spans="8:8">
      <c r="A52" s="321" t="s">
        <v>313</v>
      </c>
      <c r="B52" s="120" t="s">
        <v>398</v>
      </c>
      <c r="C52" s="457">
        <v>1.0</v>
      </c>
      <c r="D52" s="471"/>
      <c r="E52" s="122">
        <f t="shared" si="21" ref="E52:K52">$C$52*$D$52*12*E23</f>
        <v>0.0</v>
      </c>
      <c r="F52" s="122">
        <f t="shared" si="21"/>
        <v>0.0</v>
      </c>
      <c r="G52" s="122">
        <f t="shared" si="21"/>
        <v>0.0</v>
      </c>
      <c r="H52" s="122">
        <f t="shared" si="21"/>
        <v>0.0</v>
      </c>
      <c r="I52" s="122">
        <f t="shared" si="21"/>
        <v>0.0</v>
      </c>
      <c r="J52" s="122">
        <f t="shared" si="21"/>
        <v>0.0</v>
      </c>
      <c r="K52" s="122">
        <f t="shared" si="21"/>
        <v>0.0</v>
      </c>
    </row>
    <row r="53" spans="8:8">
      <c r="A53" s="321"/>
      <c r="B53" s="321"/>
      <c r="C53" s="457"/>
      <c r="D53" s="471"/>
      <c r="E53" s="122"/>
      <c r="F53" s="122"/>
      <c r="G53" s="122"/>
      <c r="H53" s="122"/>
      <c r="I53" s="122"/>
      <c r="J53" s="122"/>
      <c r="K53" s="122"/>
    </row>
    <row r="54" spans="8:8">
      <c r="A54" s="321"/>
      <c r="B54" s="321"/>
      <c r="C54" s="457"/>
      <c r="D54" s="471"/>
      <c r="E54" s="122"/>
      <c r="F54" s="122"/>
      <c r="G54" s="122"/>
      <c r="H54" s="122"/>
      <c r="I54" s="122"/>
      <c r="J54" s="122"/>
      <c r="K54" s="122"/>
    </row>
    <row r="55" spans="8:8">
      <c r="A55" s="321"/>
      <c r="B55" s="321"/>
      <c r="C55" s="457"/>
      <c r="D55" s="471"/>
      <c r="E55" s="122"/>
      <c r="F55" s="122"/>
      <c r="G55" s="122"/>
      <c r="H55" s="122"/>
      <c r="I55" s="122"/>
      <c r="J55" s="122"/>
      <c r="K55" s="122"/>
    </row>
    <row r="56" spans="8:8">
      <c r="A56" s="123" t="s">
        <v>329</v>
      </c>
      <c r="B56" s="123"/>
      <c r="C56" s="123"/>
      <c r="D56" s="123"/>
      <c r="E56" s="124">
        <f>SUM(E52:E55)</f>
        <v>0.0</v>
      </c>
      <c r="F56" s="124">
        <f t="shared" si="22" ref="F56:K56">SUM(F52:F55)</f>
        <v>0.0</v>
      </c>
      <c r="G56" s="124">
        <f t="shared" si="22"/>
        <v>0.0</v>
      </c>
      <c r="H56" s="124">
        <f t="shared" si="22"/>
        <v>0.0</v>
      </c>
      <c r="I56" s="124">
        <f t="shared" si="22"/>
        <v>0.0</v>
      </c>
      <c r="J56" s="124">
        <f t="shared" si="22"/>
        <v>0.0</v>
      </c>
      <c r="K56" s="124">
        <f t="shared" si="22"/>
        <v>0.0</v>
      </c>
    </row>
    <row r="57" spans="8:8">
      <c r="A57" s="123" t="s">
        <v>130</v>
      </c>
      <c r="B57" s="123"/>
      <c r="C57" s="123"/>
      <c r="D57" s="123"/>
      <c r="E57" s="124">
        <f>E49+E56</f>
        <v>0.0</v>
      </c>
      <c r="F57" s="124">
        <f t="shared" si="23" ref="F57:K57">F49+F56</f>
        <v>0.0</v>
      </c>
      <c r="G57" s="124">
        <f t="shared" si="23"/>
        <v>0.0</v>
      </c>
      <c r="H57" s="124">
        <f t="shared" si="23"/>
        <v>0.0</v>
      </c>
      <c r="I57" s="124">
        <f t="shared" si="23"/>
        <v>0.0</v>
      </c>
      <c r="J57" s="124">
        <f t="shared" si="23"/>
        <v>0.0</v>
      </c>
      <c r="K57" s="124">
        <f t="shared" si="23"/>
        <v>0.0</v>
      </c>
    </row>
    <row r="58" spans="8:8">
      <c r="A58" s="120"/>
      <c r="B58" s="120"/>
      <c r="C58" s="120"/>
      <c r="D58" s="120"/>
      <c r="E58" s="122"/>
      <c r="F58" s="122"/>
      <c r="G58" s="122"/>
      <c r="H58" s="122"/>
      <c r="I58" s="122"/>
      <c r="J58" s="122"/>
      <c r="K58" s="122"/>
    </row>
    <row r="59" spans="8:8">
      <c r="A59" s="123" t="s">
        <v>316</v>
      </c>
      <c r="B59" s="123"/>
      <c r="C59" s="123"/>
      <c r="D59" s="123"/>
      <c r="E59" s="124">
        <f t="shared" si="24" ref="E59:K59">E39-E57</f>
        <v>0.0</v>
      </c>
      <c r="F59" s="124">
        <f t="shared" si="24"/>
        <v>0.0</v>
      </c>
      <c r="G59" s="124">
        <f t="shared" si="24"/>
        <v>0.0</v>
      </c>
      <c r="H59" s="124">
        <f t="shared" si="24"/>
        <v>0.0</v>
      </c>
      <c r="I59" s="124">
        <f t="shared" si="24"/>
        <v>0.0</v>
      </c>
      <c r="J59" s="124">
        <f t="shared" si="24"/>
        <v>0.0</v>
      </c>
      <c r="K59" s="124">
        <f t="shared" si="24"/>
        <v>0.0</v>
      </c>
    </row>
    <row r="60" spans="8:8">
      <c r="A60" s="472"/>
      <c r="B60" s="472"/>
      <c r="C60" s="472"/>
      <c r="D60" s="472"/>
      <c r="E60" s="473"/>
      <c r="F60" s="473"/>
      <c r="G60" s="473"/>
      <c r="H60" s="473"/>
      <c r="I60" s="473"/>
      <c r="J60" s="473"/>
      <c r="K60" s="473"/>
    </row>
    <row r="61" spans="8:8">
      <c r="A61" s="115"/>
      <c r="B61" s="115"/>
      <c r="C61" s="472"/>
      <c r="D61" s="472"/>
      <c r="E61" s="473"/>
      <c r="F61" s="473"/>
      <c r="G61" s="473"/>
      <c r="H61" s="473"/>
      <c r="I61" s="473"/>
      <c r="J61" s="473"/>
      <c r="K61" s="473"/>
    </row>
    <row r="62" spans="8:8">
      <c r="A62" s="49" t="s">
        <v>430</v>
      </c>
      <c r="B62" s="49"/>
      <c r="C62" s="49"/>
      <c r="D62" s="49"/>
      <c r="E62" s="49"/>
      <c r="F62" s="49"/>
      <c r="G62" s="49"/>
      <c r="H62" s="49"/>
      <c r="I62" s="49"/>
      <c r="J62" s="49"/>
      <c r="K62" s="49"/>
      <c r="L62" s="49"/>
    </row>
    <row r="65" spans="8:8">
      <c r="A65" t="s">
        <v>553</v>
      </c>
    </row>
    <row r="66" spans="8:8">
      <c r="A66">
        <v>1.0</v>
      </c>
      <c r="B66" t="s">
        <v>566</v>
      </c>
    </row>
    <row r="67" spans="8:8">
      <c r="A67">
        <v>2.0</v>
      </c>
      <c r="B67" t="s">
        <v>567</v>
      </c>
    </row>
    <row r="68" spans="8:8">
      <c r="A68">
        <v>3.0</v>
      </c>
      <c r="B68" s="115" t="s">
        <v>619</v>
      </c>
    </row>
  </sheetData>
  <mergeCells count="4">
    <mergeCell ref="A21:K21"/>
    <mergeCell ref="A62:L62"/>
    <mergeCell ref="A3:L3"/>
    <mergeCell ref="A4:L4"/>
  </mergeCells>
  <pageMargins left="0.7" right="0.7" top="0.35" bottom="0.3" header="0.3" footer="0.3"/>
  <pageSetup paperSize="9" scale="58" orientation="landscape"/>
</worksheet>
</file>

<file path=xl/worksheets/sheet17.xml><?xml version="1.0" encoding="utf-8"?>
<worksheet xmlns:r="http://schemas.openxmlformats.org/officeDocument/2006/relationships" xmlns="http://schemas.openxmlformats.org/spreadsheetml/2006/main">
  <dimension ref="A1:X284"/>
  <sheetViews>
    <sheetView workbookViewId="0" topLeftCell="A258" zoomScale="85">
      <selection activeCell="C19" sqref="C19"/>
    </sheetView>
  </sheetViews>
  <sheetFormatPr defaultRowHeight="15.0" defaultColWidth="10"/>
  <cols>
    <col min="1" max="1" customWidth="1" bestFit="1" width="41.140625" style="0"/>
    <col min="2" max="2" customWidth="1" bestFit="1" width="4.4257812" style="0"/>
    <col min="3" max="3" customWidth="1" bestFit="1" width="10.5703125" style="0"/>
    <col min="4" max="4" customWidth="1" bestFit="1" width="13.425781" style="0"/>
    <col min="5" max="5" customWidth="1" bestFit="1" width="19.425781" style="0"/>
    <col min="6" max="6" customWidth="1" width="14.855469" style="0"/>
    <col min="7" max="10" customWidth="1" bestFit="1" width="14.855469" style="0"/>
    <col min="12" max="12" customWidth="1" bestFit="1" width="27.140625" style="0"/>
    <col min="18" max="20" customWidth="1" bestFit="1" width="9.425781" style="0"/>
    <col min="22" max="22" customWidth="1" bestFit="1" width="9.425781" style="0"/>
  </cols>
  <sheetData>
    <row r="2" spans="8:8" ht="18.75">
      <c r="A2" s="30" t="s">
        <v>612</v>
      </c>
      <c r="B2" s="30"/>
      <c r="C2" s="30"/>
      <c r="D2" s="30"/>
      <c r="E2" s="30"/>
      <c r="F2" s="30"/>
      <c r="G2" s="30"/>
      <c r="H2" s="30"/>
      <c r="I2" s="30"/>
    </row>
    <row r="4" spans="8:8">
      <c r="A4" s="115"/>
      <c r="B4" s="115"/>
      <c r="C4" s="115"/>
      <c r="D4" s="115"/>
      <c r="E4" s="115"/>
      <c r="F4" s="115"/>
      <c r="G4" s="115"/>
      <c r="H4" s="115"/>
      <c r="I4" s="115"/>
    </row>
    <row r="5" spans="8:8">
      <c r="A5" s="115"/>
      <c r="B5" s="115"/>
      <c r="C5" s="115"/>
      <c r="D5" s="115"/>
      <c r="E5" s="115"/>
      <c r="F5" s="115"/>
      <c r="G5" s="115"/>
      <c r="H5" s="115"/>
      <c r="I5" s="115"/>
    </row>
    <row r="6" spans="8:8">
      <c r="A6" s="118" t="s">
        <v>128</v>
      </c>
      <c r="B6" s="118"/>
      <c r="C6" s="119" t="s">
        <v>2</v>
      </c>
      <c r="D6" s="119" t="s">
        <v>3</v>
      </c>
      <c r="E6" s="119" t="s">
        <v>4</v>
      </c>
      <c r="F6" s="119" t="s">
        <v>5</v>
      </c>
      <c r="G6" s="119" t="s">
        <v>6</v>
      </c>
      <c r="H6" s="119" t="s">
        <v>169</v>
      </c>
      <c r="I6" s="119" t="s">
        <v>168</v>
      </c>
    </row>
    <row r="7" spans="8:8">
      <c r="A7" s="348" t="s">
        <v>569</v>
      </c>
      <c r="B7" s="136"/>
      <c r="C7" s="136"/>
      <c r="D7" s="136"/>
      <c r="E7" s="136"/>
      <c r="F7" s="136"/>
      <c r="G7" s="136"/>
      <c r="H7" s="136"/>
      <c r="I7" s="136"/>
    </row>
    <row r="8" spans="8:8">
      <c r="A8" s="348" t="s">
        <v>178</v>
      </c>
      <c r="B8" s="474"/>
      <c r="C8" s="475"/>
      <c r="D8" s="475"/>
      <c r="E8" s="475"/>
      <c r="F8" s="475"/>
      <c r="G8" s="475"/>
      <c r="H8" s="475"/>
      <c r="I8" s="475"/>
    </row>
    <row r="9" spans="8:8">
      <c r="A9" s="136" t="str">
        <f>'10.Grain Production details'!A92</f>
        <v>Soybean</v>
      </c>
      <c r="B9" s="474"/>
      <c r="C9" s="475">
        <f>'10.Grain Production details'!B92</f>
        <v>0.0</v>
      </c>
      <c r="D9" s="475">
        <f>'10.Grain Production details'!C92</f>
        <v>0.0</v>
      </c>
      <c r="E9" s="475">
        <f>'10.Grain Production details'!D92</f>
        <v>0.0</v>
      </c>
      <c r="F9" s="475">
        <f>'10.Grain Production details'!E92</f>
        <v>0.0</v>
      </c>
      <c r="G9" s="475">
        <f>'10.Grain Production details'!F92</f>
        <v>0.0</v>
      </c>
      <c r="H9" s="475">
        <f>'10.Grain Production details'!G92</f>
        <v>0.0</v>
      </c>
      <c r="I9" s="475">
        <f>'10.Grain Production details'!H92</f>
        <v>0.0</v>
      </c>
    </row>
    <row r="10" spans="8:8">
      <c r="A10" s="136" t="str">
        <f>'10.Grain Production details'!A93</f>
        <v>Red Gram/Tur</v>
      </c>
      <c r="B10" s="474"/>
      <c r="C10" s="475">
        <f>'10.Grain Production details'!B93</f>
        <v>0.0</v>
      </c>
      <c r="D10" s="475">
        <f>'10.Grain Production details'!C93</f>
        <v>0.0</v>
      </c>
      <c r="E10" s="475">
        <f>'10.Grain Production details'!D93</f>
        <v>0.0</v>
      </c>
      <c r="F10" s="475">
        <f>'10.Grain Production details'!E93</f>
        <v>0.0</v>
      </c>
      <c r="G10" s="475">
        <f>'10.Grain Production details'!F93</f>
        <v>0.0</v>
      </c>
      <c r="H10" s="475">
        <f>'10.Grain Production details'!G93</f>
        <v>0.0</v>
      </c>
      <c r="I10" s="475">
        <f>'10.Grain Production details'!H93</f>
        <v>0.0</v>
      </c>
    </row>
    <row r="11" spans="8:8">
      <c r="A11" s="136" t="str">
        <f>'10.Grain Production details'!A94</f>
        <v>Paddy/Rice</v>
      </c>
      <c r="B11" s="474"/>
      <c r="C11" s="475">
        <f>'10.Grain Production details'!B94</f>
        <v>0.0</v>
      </c>
      <c r="D11" s="475">
        <f>'10.Grain Production details'!C94</f>
        <v>0.0</v>
      </c>
      <c r="E11" s="475">
        <f>'10.Grain Production details'!D94</f>
        <v>0.0</v>
      </c>
      <c r="F11" s="475">
        <f>'10.Grain Production details'!E94</f>
        <v>0.0</v>
      </c>
      <c r="G11" s="475">
        <f>'10.Grain Production details'!F94</f>
        <v>0.0</v>
      </c>
      <c r="H11" s="475">
        <f>'10.Grain Production details'!G94</f>
        <v>0.0</v>
      </c>
      <c r="I11" s="475">
        <f>'10.Grain Production details'!H94</f>
        <v>0.0</v>
      </c>
    </row>
    <row r="12" spans="8:8">
      <c r="A12" s="136" t="str">
        <f>'10.Grain Production details'!A95</f>
        <v>Green Gram/ Moong</v>
      </c>
      <c r="B12" s="474"/>
      <c r="C12" s="475">
        <f>'10.Grain Production details'!B95</f>
        <v>0.0</v>
      </c>
      <c r="D12" s="475">
        <f>'10.Grain Production details'!C95</f>
        <v>0.0</v>
      </c>
      <c r="E12" s="475">
        <f>'10.Grain Production details'!D95</f>
        <v>0.0</v>
      </c>
      <c r="F12" s="475">
        <f>'10.Grain Production details'!E95</f>
        <v>0.0</v>
      </c>
      <c r="G12" s="475">
        <f>'10.Grain Production details'!F95</f>
        <v>0.0</v>
      </c>
      <c r="H12" s="475">
        <f>'10.Grain Production details'!G95</f>
        <v>0.0</v>
      </c>
      <c r="I12" s="475">
        <f>'10.Grain Production details'!H95</f>
        <v>0.0</v>
      </c>
    </row>
    <row r="13" spans="8:8">
      <c r="A13" s="136" t="str">
        <f>'10.Grain Production details'!A96</f>
        <v>Maize</v>
      </c>
      <c r="B13" s="474"/>
      <c r="C13" s="475">
        <f>'10.Grain Production details'!B96</f>
        <v>0.0</v>
      </c>
      <c r="D13" s="475">
        <f>'10.Grain Production details'!C96</f>
        <v>0.0</v>
      </c>
      <c r="E13" s="475">
        <f>'10.Grain Production details'!D96</f>
        <v>0.0</v>
      </c>
      <c r="F13" s="475">
        <f>'10.Grain Production details'!E96</f>
        <v>0.0</v>
      </c>
      <c r="G13" s="475">
        <f>'10.Grain Production details'!F96</f>
        <v>0.0</v>
      </c>
      <c r="H13" s="475">
        <f>'10.Grain Production details'!G96</f>
        <v>0.0</v>
      </c>
      <c r="I13" s="475">
        <f>'10.Grain Production details'!H96</f>
        <v>0.0</v>
      </c>
    </row>
    <row r="14" spans="8:8">
      <c r="A14" s="136" t="str">
        <f>'10.Grain Production details'!A97</f>
        <v>Black Gram/Udid</v>
      </c>
      <c r="B14" s="474"/>
      <c r="C14" s="475">
        <f>'10.Grain Production details'!B97</f>
        <v>0.0</v>
      </c>
      <c r="D14" s="475">
        <f>'10.Grain Production details'!C97</f>
        <v>0.0</v>
      </c>
      <c r="E14" s="475">
        <f>'10.Grain Production details'!D97</f>
        <v>0.0</v>
      </c>
      <c r="F14" s="475">
        <f>'10.Grain Production details'!E97</f>
        <v>0.0</v>
      </c>
      <c r="G14" s="475">
        <f>'10.Grain Production details'!F97</f>
        <v>0.0</v>
      </c>
      <c r="H14" s="475">
        <f>'10.Grain Production details'!G97</f>
        <v>0.0</v>
      </c>
      <c r="I14" s="475">
        <f>'10.Grain Production details'!H97</f>
        <v>0.0</v>
      </c>
    </row>
    <row r="15" spans="8:8">
      <c r="A15" s="136" t="str">
        <f>'10.Grain Production details'!A98</f>
        <v>Bajra</v>
      </c>
      <c r="B15" s="474"/>
      <c r="C15" s="475">
        <f>'10.Grain Production details'!B98</f>
        <v>0.0</v>
      </c>
      <c r="D15" s="475">
        <f>'10.Grain Production details'!C98</f>
        <v>0.0</v>
      </c>
      <c r="E15" s="475">
        <f>'10.Grain Production details'!D98</f>
        <v>0.0</v>
      </c>
      <c r="F15" s="475">
        <f>'10.Grain Production details'!E98</f>
        <v>0.0</v>
      </c>
      <c r="G15" s="475">
        <f>'10.Grain Production details'!F98</f>
        <v>0.0</v>
      </c>
      <c r="H15" s="475">
        <f>'10.Grain Production details'!G98</f>
        <v>0.0</v>
      </c>
      <c r="I15" s="475">
        <f>'10.Grain Production details'!H98</f>
        <v>0.0</v>
      </c>
    </row>
    <row r="16" spans="8:8">
      <c r="A16" s="136" t="str">
        <f>'10.Grain Production details'!A99</f>
        <v>Jawar</v>
      </c>
      <c r="B16" s="474"/>
      <c r="C16" s="475">
        <f>'10.Grain Production details'!B99</f>
        <v>0.0</v>
      </c>
      <c r="D16" s="475">
        <f>'10.Grain Production details'!C99</f>
        <v>0.0</v>
      </c>
      <c r="E16" s="475">
        <f>'10.Grain Production details'!D99</f>
        <v>0.0</v>
      </c>
      <c r="F16" s="475">
        <f>'10.Grain Production details'!E99</f>
        <v>0.0</v>
      </c>
      <c r="G16" s="475">
        <f>'10.Grain Production details'!F99</f>
        <v>0.0</v>
      </c>
      <c r="H16" s="475">
        <f>'10.Grain Production details'!G99</f>
        <v>0.0</v>
      </c>
      <c r="I16" s="475">
        <f>'10.Grain Production details'!H99</f>
        <v>0.0</v>
      </c>
    </row>
    <row r="17" spans="8:8">
      <c r="A17" s="348" t="s">
        <v>182</v>
      </c>
      <c r="B17" s="474"/>
      <c r="C17" s="475"/>
      <c r="D17" s="475"/>
      <c r="E17" s="475"/>
      <c r="F17" s="475"/>
      <c r="G17" s="475"/>
      <c r="H17" s="475"/>
      <c r="I17" s="475"/>
    </row>
    <row r="18" spans="8:8">
      <c r="A18" s="136" t="str">
        <f>'10.Grain Production details'!A101</f>
        <v>Wheat</v>
      </c>
      <c r="B18" s="474"/>
      <c r="C18" s="475">
        <f>'10.Grain Production details'!B101</f>
        <v>0.0</v>
      </c>
      <c r="D18" s="475">
        <f>'10.Grain Production details'!C101</f>
        <v>0.0</v>
      </c>
      <c r="E18" s="475">
        <f>'10.Grain Production details'!D101</f>
        <v>0.0</v>
      </c>
      <c r="F18" s="475">
        <f>'10.Grain Production details'!E101</f>
        <v>0.0</v>
      </c>
      <c r="G18" s="475">
        <f>'10.Grain Production details'!F101</f>
        <v>0.0</v>
      </c>
      <c r="H18" s="475">
        <f>'10.Grain Production details'!G101</f>
        <v>0.0</v>
      </c>
      <c r="I18" s="475">
        <f>'10.Grain Production details'!H101</f>
        <v>0.0</v>
      </c>
    </row>
    <row r="19" spans="8:8">
      <c r="A19" s="136" t="str">
        <f>'10.Grain Production details'!A102</f>
        <v>Bengal Gram/Channa</v>
      </c>
      <c r="B19" s="474"/>
      <c r="C19" s="475">
        <f>'10.Grain Production details'!B102</f>
        <v>0.0</v>
      </c>
      <c r="D19" s="475">
        <f>'10.Grain Production details'!C102</f>
        <v>0.0</v>
      </c>
      <c r="E19" s="475">
        <f>'10.Grain Production details'!D102</f>
        <v>0.0</v>
      </c>
      <c r="F19" s="475">
        <f>'10.Grain Production details'!E102</f>
        <v>0.0</v>
      </c>
      <c r="G19" s="475">
        <f>'10.Grain Production details'!F102</f>
        <v>0.0</v>
      </c>
      <c r="H19" s="475">
        <f>'10.Grain Production details'!G102</f>
        <v>0.0</v>
      </c>
      <c r="I19" s="475">
        <f>'10.Grain Production details'!H102</f>
        <v>0.0</v>
      </c>
    </row>
    <row r="20" spans="8:8">
      <c r="A20" s="136" t="str">
        <f>'10.Grain Production details'!A103</f>
        <v>Jawar</v>
      </c>
      <c r="B20" s="474"/>
      <c r="C20" s="475">
        <f>'10.Grain Production details'!B103</f>
        <v>0.0</v>
      </c>
      <c r="D20" s="475">
        <f>'10.Grain Production details'!C103</f>
        <v>0.0</v>
      </c>
      <c r="E20" s="475">
        <f>'10.Grain Production details'!D103</f>
        <v>0.0</v>
      </c>
      <c r="F20" s="475">
        <f>'10.Grain Production details'!E103</f>
        <v>0.0</v>
      </c>
      <c r="G20" s="475">
        <f>'10.Grain Production details'!F103</f>
        <v>0.0</v>
      </c>
      <c r="H20" s="475">
        <f>'10.Grain Production details'!G103</f>
        <v>0.0</v>
      </c>
      <c r="I20" s="475">
        <f>'10.Grain Production details'!H103</f>
        <v>0.0</v>
      </c>
    </row>
    <row r="21" spans="8:8">
      <c r="A21" s="136" t="str">
        <f>'10.Grain Production details'!A104</f>
        <v>Maize</v>
      </c>
      <c r="B21" s="474"/>
      <c r="C21" s="475">
        <f>'10.Grain Production details'!B104</f>
        <v>0.0</v>
      </c>
      <c r="D21" s="475">
        <f>'10.Grain Production details'!C104</f>
        <v>0.0</v>
      </c>
      <c r="E21" s="475">
        <f>'10.Grain Production details'!D104</f>
        <v>0.0</v>
      </c>
      <c r="F21" s="475">
        <f>'10.Grain Production details'!E104</f>
        <v>0.0</v>
      </c>
      <c r="G21" s="475">
        <f>'10.Grain Production details'!F104</f>
        <v>0.0</v>
      </c>
      <c r="H21" s="475">
        <f>'10.Grain Production details'!G104</f>
        <v>0.0</v>
      </c>
      <c r="I21" s="475">
        <f>'10.Grain Production details'!H104</f>
        <v>0.0</v>
      </c>
    </row>
    <row r="22" spans="8:8">
      <c r="A22" s="136" t="str">
        <f>'10.Grain Production details'!A105</f>
        <v>Safflower</v>
      </c>
      <c r="B22" s="474"/>
      <c r="C22" s="475">
        <f>'10.Grain Production details'!B105</f>
        <v>0.0</v>
      </c>
      <c r="D22" s="475">
        <f>'10.Grain Production details'!C105</f>
        <v>0.0</v>
      </c>
      <c r="E22" s="475">
        <f>'10.Grain Production details'!D105</f>
        <v>0.0</v>
      </c>
      <c r="F22" s="475">
        <f>'10.Grain Production details'!E105</f>
        <v>0.0</v>
      </c>
      <c r="G22" s="475">
        <f>'10.Grain Production details'!F105</f>
        <v>0.0</v>
      </c>
      <c r="H22" s="475">
        <f>'10.Grain Production details'!G105</f>
        <v>0.0</v>
      </c>
      <c r="I22" s="475">
        <f>'10.Grain Production details'!H105</f>
        <v>0.0</v>
      </c>
    </row>
    <row r="23" spans="8:8">
      <c r="A23" s="136">
        <f>'10.Grain Production details'!A106</f>
        <v>0.0</v>
      </c>
      <c r="B23" s="474"/>
      <c r="C23" s="475">
        <f>'10.Grain Production details'!B106</f>
        <v>0.0</v>
      </c>
      <c r="D23" s="475">
        <f>'10.Grain Production details'!C106</f>
        <v>0.0</v>
      </c>
      <c r="E23" s="475">
        <f>'10.Grain Production details'!D106</f>
        <v>0.0</v>
      </c>
      <c r="F23" s="475">
        <f>'10.Grain Production details'!E106</f>
        <v>0.0</v>
      </c>
      <c r="G23" s="475">
        <f>'10.Grain Production details'!F106</f>
        <v>0.0</v>
      </c>
      <c r="H23" s="475">
        <f>'10.Grain Production details'!G106</f>
        <v>0.0</v>
      </c>
      <c r="I23" s="475">
        <f>'10.Grain Production details'!H106</f>
        <v>0.0</v>
      </c>
    </row>
    <row r="24" spans="8:8">
      <c r="A24" s="136">
        <f>'10.Grain Production details'!A107</f>
        <v>0.0</v>
      </c>
      <c r="B24" s="474"/>
      <c r="C24" s="475">
        <f>'10.Grain Production details'!B107</f>
        <v>0.0</v>
      </c>
      <c r="D24" s="475">
        <f>'10.Grain Production details'!C107</f>
        <v>0.0</v>
      </c>
      <c r="E24" s="475">
        <f>'10.Grain Production details'!D107</f>
        <v>0.0</v>
      </c>
      <c r="F24" s="475">
        <f>'10.Grain Production details'!E107</f>
        <v>0.0</v>
      </c>
      <c r="G24" s="475">
        <f>'10.Grain Production details'!F107</f>
        <v>0.0</v>
      </c>
      <c r="H24" s="475">
        <f>'10.Grain Production details'!G107</f>
        <v>0.0</v>
      </c>
      <c r="I24" s="475">
        <f>'10.Grain Production details'!H107</f>
        <v>0.0</v>
      </c>
    </row>
    <row r="25" spans="8:8">
      <c r="A25" s="136">
        <f>'10.Grain Production details'!A108</f>
        <v>0.0</v>
      </c>
      <c r="B25" s="474"/>
      <c r="C25" s="475">
        <f>'10.Grain Production details'!B108</f>
        <v>0.0</v>
      </c>
      <c r="D25" s="475">
        <f>'10.Grain Production details'!C108</f>
        <v>0.0</v>
      </c>
      <c r="E25" s="475">
        <f>'10.Grain Production details'!D108</f>
        <v>0.0</v>
      </c>
      <c r="F25" s="475">
        <f>'10.Grain Production details'!E108</f>
        <v>0.0</v>
      </c>
      <c r="G25" s="475">
        <f>'10.Grain Production details'!F108</f>
        <v>0.0</v>
      </c>
      <c r="H25" s="475">
        <f>'10.Grain Production details'!G108</f>
        <v>0.0</v>
      </c>
      <c r="I25" s="475">
        <f>'10.Grain Production details'!H108</f>
        <v>0.0</v>
      </c>
    </row>
    <row r="26" spans="8:8">
      <c r="A26" s="348" t="str">
        <f>'10.Grain Production details'!A33</f>
        <v>Summer</v>
      </c>
      <c r="B26" s="474"/>
      <c r="C26" s="475"/>
      <c r="D26" s="475"/>
      <c r="E26" s="475"/>
      <c r="F26" s="475"/>
      <c r="G26" s="475"/>
      <c r="H26" s="475"/>
      <c r="I26" s="475"/>
    </row>
    <row r="27" spans="8:8">
      <c r="A27" s="136" t="str">
        <f>'10.Grain Production details'!A109</f>
        <v>Groundnut</v>
      </c>
      <c r="B27" s="474"/>
      <c r="C27" s="475">
        <f>'10.Grain Production details'!B110</f>
        <v>0.0</v>
      </c>
      <c r="D27" s="475">
        <f>'10.Grain Production details'!C110</f>
        <v>0.0</v>
      </c>
      <c r="E27" s="475">
        <f>'10.Grain Production details'!D110</f>
        <v>0.0</v>
      </c>
      <c r="F27" s="475">
        <f>'10.Grain Production details'!E110</f>
        <v>0.0</v>
      </c>
      <c r="G27" s="475">
        <f>'10.Grain Production details'!F110</f>
        <v>0.0</v>
      </c>
      <c r="H27" s="475">
        <f>'10.Grain Production details'!G110</f>
        <v>0.0</v>
      </c>
      <c r="I27" s="475">
        <f>'10.Grain Production details'!H110</f>
        <v>0.0</v>
      </c>
    </row>
    <row r="28" spans="8:8">
      <c r="A28" s="136">
        <f>'10.Grain Production details'!A110</f>
        <v>0.0</v>
      </c>
      <c r="B28" s="474"/>
      <c r="C28" s="475">
        <f>'10.Grain Production details'!B111</f>
        <v>0.0</v>
      </c>
      <c r="D28" s="475">
        <f>'10.Grain Production details'!C111</f>
        <v>0.0</v>
      </c>
      <c r="E28" s="475">
        <f>'10.Grain Production details'!D111</f>
        <v>0.0</v>
      </c>
      <c r="F28" s="475">
        <f>'10.Grain Production details'!E111</f>
        <v>0.0</v>
      </c>
      <c r="G28" s="475">
        <f>'10.Grain Production details'!F111</f>
        <v>0.0</v>
      </c>
      <c r="H28" s="475">
        <f>'10.Grain Production details'!G111</f>
        <v>0.0</v>
      </c>
      <c r="I28" s="475">
        <f>'10.Grain Production details'!H111</f>
        <v>0.0</v>
      </c>
    </row>
    <row r="29" spans="8:8">
      <c r="A29" s="136">
        <f>'10.Grain Production details'!A111</f>
        <v>0.0</v>
      </c>
      <c r="B29" s="474"/>
      <c r="C29" s="475">
        <f>'10.Grain Production details'!B112</f>
        <v>0.0</v>
      </c>
      <c r="D29" s="475">
        <f>'10.Grain Production details'!C112</f>
        <v>0.0</v>
      </c>
      <c r="E29" s="475">
        <f>'10.Grain Production details'!D112</f>
        <v>0.0</v>
      </c>
      <c r="F29" s="475">
        <f>'10.Grain Production details'!E112</f>
        <v>0.0</v>
      </c>
      <c r="G29" s="475">
        <f>'10.Grain Production details'!F112</f>
        <v>0.0</v>
      </c>
      <c r="H29" s="475">
        <f>'10.Grain Production details'!G112</f>
        <v>0.0</v>
      </c>
      <c r="I29" s="475">
        <f>'10.Grain Production details'!H112</f>
        <v>0.0</v>
      </c>
    </row>
    <row r="30" spans="8:8">
      <c r="A30" s="136">
        <f>'10.Grain Production details'!A112</f>
        <v>0.0</v>
      </c>
      <c r="B30" s="474"/>
      <c r="C30" s="475">
        <f>'10.Grain Production details'!B113</f>
        <v>0.0</v>
      </c>
      <c r="D30" s="475">
        <f>'10.Grain Production details'!C113</f>
        <v>0.0</v>
      </c>
      <c r="E30" s="475">
        <f>'10.Grain Production details'!D113</f>
        <v>0.0</v>
      </c>
      <c r="F30" s="475">
        <f>'10.Grain Production details'!E113</f>
        <v>0.0</v>
      </c>
      <c r="G30" s="475">
        <f>'10.Grain Production details'!F113</f>
        <v>0.0</v>
      </c>
      <c r="H30" s="475">
        <f>'10.Grain Production details'!G113</f>
        <v>0.0</v>
      </c>
      <c r="I30" s="475">
        <f>'10.Grain Production details'!H113</f>
        <v>0.0</v>
      </c>
    </row>
    <row r="31" spans="8:8">
      <c r="A31" s="136">
        <f>'10.Grain Production details'!A113</f>
        <v>0.0</v>
      </c>
      <c r="B31" s="474"/>
      <c r="C31" s="475">
        <f>'10.Grain Production details'!C114</f>
        <v>0.0</v>
      </c>
      <c r="D31" s="475">
        <f>'10.Grain Production details'!D114</f>
        <v>0.0</v>
      </c>
      <c r="E31" s="475">
        <f>'10.Grain Production details'!E114</f>
        <v>0.0</v>
      </c>
      <c r="F31" s="475">
        <f>'10.Grain Production details'!F114</f>
        <v>0.0</v>
      </c>
      <c r="G31" s="475">
        <f>'10.Grain Production details'!G114</f>
        <v>0.0</v>
      </c>
      <c r="H31" s="475">
        <f>'10.Grain Production details'!H114</f>
        <v>0.0</v>
      </c>
      <c r="I31" s="475">
        <f>'10.Grain Production details'!I114</f>
        <v>0.0</v>
      </c>
    </row>
    <row r="32" spans="8:8">
      <c r="A32" s="348" t="str">
        <f>'11.F&amp;V Crop Production details'!A1:H1</f>
        <v>Fruit  &amp; Vegetables Crop Production Details</v>
      </c>
      <c r="B32" s="474"/>
      <c r="C32" s="475"/>
      <c r="D32" s="475"/>
      <c r="E32" s="475"/>
      <c r="F32" s="475"/>
      <c r="G32" s="475"/>
      <c r="H32" s="475"/>
      <c r="I32" s="475"/>
    </row>
    <row r="33" spans="8:8">
      <c r="A33" s="136" t="str">
        <f>'11.F&amp;V Crop Production details'!A102</f>
        <v>Onion</v>
      </c>
      <c r="B33" s="474"/>
      <c r="C33" s="475">
        <f>'11.F&amp;V Crop Production details'!B102</f>
        <v>0.0</v>
      </c>
      <c r="D33" s="475">
        <f>'11.F&amp;V Crop Production details'!C102</f>
        <v>0.0</v>
      </c>
      <c r="E33" s="475">
        <f>'11.F&amp;V Crop Production details'!D102</f>
        <v>0.0</v>
      </c>
      <c r="F33" s="475">
        <f>'11.F&amp;V Crop Production details'!E102</f>
        <v>0.0</v>
      </c>
      <c r="G33" s="475">
        <f>'11.F&amp;V Crop Production details'!F102</f>
        <v>0.0</v>
      </c>
      <c r="H33" s="475">
        <f>'11.F&amp;V Crop Production details'!G102</f>
        <v>0.0</v>
      </c>
      <c r="I33" s="475">
        <f>'11.F&amp;V Crop Production details'!H102</f>
        <v>0.0</v>
      </c>
    </row>
    <row r="34" spans="8:8">
      <c r="A34" s="136" t="str">
        <f>'11.F&amp;V Crop Production details'!A103</f>
        <v>Tomato</v>
      </c>
      <c r="B34" s="474"/>
      <c r="C34" s="475">
        <f>'11.F&amp;V Crop Production details'!B103</f>
        <v>0.0</v>
      </c>
      <c r="D34" s="475">
        <f>'11.F&amp;V Crop Production details'!C103</f>
        <v>0.0</v>
      </c>
      <c r="E34" s="475">
        <f>'11.F&amp;V Crop Production details'!D103</f>
        <v>0.0</v>
      </c>
      <c r="F34" s="475">
        <f>'11.F&amp;V Crop Production details'!E103</f>
        <v>0.0</v>
      </c>
      <c r="G34" s="475">
        <f>'11.F&amp;V Crop Production details'!F103</f>
        <v>0.0</v>
      </c>
      <c r="H34" s="475">
        <f>'11.F&amp;V Crop Production details'!G103</f>
        <v>0.0</v>
      </c>
      <c r="I34" s="475">
        <f>'11.F&amp;V Crop Production details'!H103</f>
        <v>0.0</v>
      </c>
    </row>
    <row r="35" spans="8:8">
      <c r="A35" s="136" t="str">
        <f>'11.F&amp;V Crop Production details'!A104</f>
        <v>Okra</v>
      </c>
      <c r="B35" s="474"/>
      <c r="C35" s="475">
        <f>'11.F&amp;V Crop Production details'!B104</f>
        <v>0.0</v>
      </c>
      <c r="D35" s="475">
        <f>'11.F&amp;V Crop Production details'!C104</f>
        <v>0.0</v>
      </c>
      <c r="E35" s="475">
        <f>'11.F&amp;V Crop Production details'!D104</f>
        <v>0.0</v>
      </c>
      <c r="F35" s="475">
        <f>'11.F&amp;V Crop Production details'!E104</f>
        <v>0.0</v>
      </c>
      <c r="G35" s="475">
        <f>'11.F&amp;V Crop Production details'!F104</f>
        <v>0.0</v>
      </c>
      <c r="H35" s="475">
        <f>'11.F&amp;V Crop Production details'!G104</f>
        <v>0.0</v>
      </c>
      <c r="I35" s="475">
        <f>'11.F&amp;V Crop Production details'!H104</f>
        <v>0.0</v>
      </c>
    </row>
    <row r="36" spans="8:8">
      <c r="A36" s="136" t="str">
        <f>'11.F&amp;V Crop Production details'!A105</f>
        <v>Chilli</v>
      </c>
      <c r="B36" s="474"/>
      <c r="C36" s="475">
        <f>'11.F&amp;V Crop Production details'!B105</f>
        <v>0.0</v>
      </c>
      <c r="D36" s="475">
        <f>'11.F&amp;V Crop Production details'!C105</f>
        <v>0.0</v>
      </c>
      <c r="E36" s="475">
        <f>'11.F&amp;V Crop Production details'!D105</f>
        <v>0.0</v>
      </c>
      <c r="F36" s="475">
        <f>'11.F&amp;V Crop Production details'!E105</f>
        <v>0.0</v>
      </c>
      <c r="G36" s="475">
        <f>'11.F&amp;V Crop Production details'!F105</f>
        <v>0.0</v>
      </c>
      <c r="H36" s="475">
        <f>'11.F&amp;V Crop Production details'!G105</f>
        <v>0.0</v>
      </c>
      <c r="I36" s="475">
        <f>'11.F&amp;V Crop Production details'!H105</f>
        <v>0.0</v>
      </c>
    </row>
    <row r="37" spans="8:8">
      <c r="A37" s="136" t="str">
        <f>'11.F&amp;V Crop Production details'!A106</f>
        <v>Potato</v>
      </c>
      <c r="B37" s="474"/>
      <c r="C37" s="475">
        <f>'11.F&amp;V Crop Production details'!B106</f>
        <v>0.0</v>
      </c>
      <c r="D37" s="475">
        <f>'11.F&amp;V Crop Production details'!C106</f>
        <v>0.0</v>
      </c>
      <c r="E37" s="475">
        <f>'11.F&amp;V Crop Production details'!D106</f>
        <v>0.0</v>
      </c>
      <c r="F37" s="475">
        <f>'11.F&amp;V Crop Production details'!E106</f>
        <v>0.0</v>
      </c>
      <c r="G37" s="475">
        <f>'11.F&amp;V Crop Production details'!F106</f>
        <v>0.0</v>
      </c>
      <c r="H37" s="475">
        <f>'11.F&amp;V Crop Production details'!G106</f>
        <v>0.0</v>
      </c>
      <c r="I37" s="475">
        <f>'11.F&amp;V Crop Production details'!H106</f>
        <v>0.0</v>
      </c>
    </row>
    <row r="38" spans="8:8">
      <c r="A38" s="136">
        <f>'11.F&amp;V Crop Production details'!A107</f>
        <v>0.0</v>
      </c>
      <c r="B38" s="474"/>
      <c r="C38" s="475">
        <f>'11.F&amp;V Crop Production details'!B107</f>
        <v>0.0</v>
      </c>
      <c r="D38" s="475">
        <f>'11.F&amp;V Crop Production details'!C107</f>
        <v>0.0</v>
      </c>
      <c r="E38" s="475">
        <f>'11.F&amp;V Crop Production details'!D107</f>
        <v>0.0</v>
      </c>
      <c r="F38" s="475">
        <f>'11.F&amp;V Crop Production details'!E107</f>
        <v>0.0</v>
      </c>
      <c r="G38" s="475">
        <f>'11.F&amp;V Crop Production details'!F107</f>
        <v>0.0</v>
      </c>
      <c r="H38" s="475">
        <f>'11.F&amp;V Crop Production details'!G107</f>
        <v>0.0</v>
      </c>
      <c r="I38" s="475">
        <f>'11.F&amp;V Crop Production details'!H107</f>
        <v>0.0</v>
      </c>
    </row>
    <row r="39" spans="8:8">
      <c r="A39" s="136">
        <f>'11.F&amp;V Crop Production details'!A108</f>
        <v>0.0</v>
      </c>
      <c r="B39" s="474"/>
      <c r="C39" s="475">
        <f>'11.F&amp;V Crop Production details'!B108</f>
        <v>0.0</v>
      </c>
      <c r="D39" s="475">
        <f>'11.F&amp;V Crop Production details'!C108</f>
        <v>0.0</v>
      </c>
      <c r="E39" s="475">
        <f>'11.F&amp;V Crop Production details'!D108</f>
        <v>0.0</v>
      </c>
      <c r="F39" s="475">
        <f>'11.F&amp;V Crop Production details'!E108</f>
        <v>0.0</v>
      </c>
      <c r="G39" s="475">
        <f>'11.F&amp;V Crop Production details'!F108</f>
        <v>0.0</v>
      </c>
      <c r="H39" s="475">
        <f>'11.F&amp;V Crop Production details'!G108</f>
        <v>0.0</v>
      </c>
      <c r="I39" s="475">
        <f>'11.F&amp;V Crop Production details'!H108</f>
        <v>0.0</v>
      </c>
    </row>
    <row r="40" spans="8:8">
      <c r="A40" s="136">
        <f>'11.F&amp;V Crop Production details'!A109</f>
        <v>0.0</v>
      </c>
      <c r="B40" s="474"/>
      <c r="C40" s="475">
        <f>'11.F&amp;V Crop Production details'!B109</f>
        <v>0.0</v>
      </c>
      <c r="D40" s="475">
        <f>'11.F&amp;V Crop Production details'!C109</f>
        <v>0.0</v>
      </c>
      <c r="E40" s="475">
        <f>'11.F&amp;V Crop Production details'!D109</f>
        <v>0.0</v>
      </c>
      <c r="F40" s="475">
        <f>'11.F&amp;V Crop Production details'!E109</f>
        <v>0.0</v>
      </c>
      <c r="G40" s="475">
        <f>'11.F&amp;V Crop Production details'!F109</f>
        <v>0.0</v>
      </c>
      <c r="H40" s="475">
        <f>'11.F&amp;V Crop Production details'!G109</f>
        <v>0.0</v>
      </c>
      <c r="I40" s="475">
        <f>'11.F&amp;V Crop Production details'!H109</f>
        <v>0.0</v>
      </c>
    </row>
    <row r="41" spans="8:8">
      <c r="A41" s="136">
        <f>'11.F&amp;V Crop Production details'!A110</f>
        <v>0.0</v>
      </c>
      <c r="B41" s="474"/>
      <c r="C41" s="475">
        <f>'11.F&amp;V Crop Production details'!B110</f>
        <v>0.0</v>
      </c>
      <c r="D41" s="475">
        <f>'11.F&amp;V Crop Production details'!C110</f>
        <v>0.0</v>
      </c>
      <c r="E41" s="475">
        <f>'11.F&amp;V Crop Production details'!D110</f>
        <v>0.0</v>
      </c>
      <c r="F41" s="475">
        <f>'11.F&amp;V Crop Production details'!E110</f>
        <v>0.0</v>
      </c>
      <c r="G41" s="475">
        <f>'11.F&amp;V Crop Production details'!F110</f>
        <v>0.0</v>
      </c>
      <c r="H41" s="475">
        <f>'11.F&amp;V Crop Production details'!G110</f>
        <v>0.0</v>
      </c>
      <c r="I41" s="475">
        <f>'11.F&amp;V Crop Production details'!H110</f>
        <v>0.0</v>
      </c>
    </row>
    <row r="42" spans="8:8">
      <c r="A42" s="136" t="str">
        <f>'11.F&amp;V Crop Production details'!A111</f>
        <v>Onion</v>
      </c>
      <c r="B42" s="474"/>
      <c r="C42" s="475">
        <f>'11.F&amp;V Crop Production details'!B111</f>
        <v>0.0</v>
      </c>
      <c r="D42" s="475">
        <f>'11.F&amp;V Crop Production details'!C111</f>
        <v>0.0</v>
      </c>
      <c r="E42" s="475">
        <f>'11.F&amp;V Crop Production details'!D111</f>
        <v>0.0</v>
      </c>
      <c r="F42" s="475">
        <f>'11.F&amp;V Crop Production details'!E111</f>
        <v>0.0</v>
      </c>
      <c r="G42" s="475">
        <f>'11.F&amp;V Crop Production details'!F111</f>
        <v>0.0</v>
      </c>
      <c r="H42" s="475">
        <f>'11.F&amp;V Crop Production details'!G111</f>
        <v>0.0</v>
      </c>
      <c r="I42" s="475">
        <f>'11.F&amp;V Crop Production details'!H111</f>
        <v>0.0</v>
      </c>
    </row>
    <row r="43" spans="8:8">
      <c r="A43" s="136" t="str">
        <f>'11.F&amp;V Crop Production details'!A112</f>
        <v>Tomato</v>
      </c>
      <c r="B43" s="474"/>
      <c r="C43" s="475">
        <f>'11.F&amp;V Crop Production details'!B112</f>
        <v>0.0</v>
      </c>
      <c r="D43" s="475">
        <f>'11.F&amp;V Crop Production details'!C112</f>
        <v>0.0</v>
      </c>
      <c r="E43" s="475">
        <f>'11.F&amp;V Crop Production details'!D112</f>
        <v>0.0</v>
      </c>
      <c r="F43" s="475">
        <f>'11.F&amp;V Crop Production details'!E112</f>
        <v>0.0</v>
      </c>
      <c r="G43" s="475">
        <f>'11.F&amp;V Crop Production details'!F112</f>
        <v>0.0</v>
      </c>
      <c r="H43" s="475">
        <f>'11.F&amp;V Crop Production details'!G112</f>
        <v>0.0</v>
      </c>
      <c r="I43" s="475">
        <f>'11.F&amp;V Crop Production details'!H112</f>
        <v>0.0</v>
      </c>
    </row>
    <row r="44" spans="8:8">
      <c r="A44" s="136" t="str">
        <f>'11.F&amp;V Crop Production details'!A113</f>
        <v>Okra</v>
      </c>
      <c r="B44" s="474"/>
      <c r="C44" s="475">
        <f>'11.F&amp;V Crop Production details'!B113</f>
        <v>0.0</v>
      </c>
      <c r="D44" s="475">
        <f>'11.F&amp;V Crop Production details'!C113</f>
        <v>0.0</v>
      </c>
      <c r="E44" s="475">
        <f>'11.F&amp;V Crop Production details'!D113</f>
        <v>0.0</v>
      </c>
      <c r="F44" s="475">
        <f>'11.F&amp;V Crop Production details'!E113</f>
        <v>0.0</v>
      </c>
      <c r="G44" s="475">
        <f>'11.F&amp;V Crop Production details'!F113</f>
        <v>0.0</v>
      </c>
      <c r="H44" s="475">
        <f>'11.F&amp;V Crop Production details'!G113</f>
        <v>0.0</v>
      </c>
      <c r="I44" s="475">
        <f>'11.F&amp;V Crop Production details'!H113</f>
        <v>0.0</v>
      </c>
    </row>
    <row r="45" spans="8:8">
      <c r="A45" s="136" t="str">
        <f>'11.F&amp;V Crop Production details'!A114</f>
        <v>Chilli</v>
      </c>
      <c r="B45" s="474"/>
      <c r="C45" s="475">
        <f>'11.F&amp;V Crop Production details'!B114</f>
        <v>0.0</v>
      </c>
      <c r="D45" s="475">
        <f>'11.F&amp;V Crop Production details'!C114</f>
        <v>0.0</v>
      </c>
      <c r="E45" s="475">
        <f>'11.F&amp;V Crop Production details'!D114</f>
        <v>0.0</v>
      </c>
      <c r="F45" s="475">
        <f>'11.F&amp;V Crop Production details'!E114</f>
        <v>0.0</v>
      </c>
      <c r="G45" s="475">
        <f>'11.F&amp;V Crop Production details'!F114</f>
        <v>0.0</v>
      </c>
      <c r="H45" s="475">
        <f>'11.F&amp;V Crop Production details'!G114</f>
        <v>0.0</v>
      </c>
      <c r="I45" s="475">
        <f>'11.F&amp;V Crop Production details'!H114</f>
        <v>0.0</v>
      </c>
    </row>
    <row r="46" spans="8:8">
      <c r="A46" s="136" t="str">
        <f>'11.F&amp;V Crop Production details'!A115</f>
        <v>Brinjal</v>
      </c>
      <c r="B46" s="474"/>
      <c r="C46" s="475">
        <f>'11.F&amp;V Crop Production details'!B115</f>
        <v>0.0</v>
      </c>
      <c r="D46" s="475">
        <f>'11.F&amp;V Crop Production details'!C115</f>
        <v>0.0</v>
      </c>
      <c r="E46" s="475">
        <f>'11.F&amp;V Crop Production details'!D115</f>
        <v>0.0</v>
      </c>
      <c r="F46" s="475">
        <f>'11.F&amp;V Crop Production details'!E115</f>
        <v>0.0</v>
      </c>
      <c r="G46" s="475">
        <f>'11.F&amp;V Crop Production details'!F115</f>
        <v>0.0</v>
      </c>
      <c r="H46" s="475">
        <f>'11.F&amp;V Crop Production details'!G115</f>
        <v>0.0</v>
      </c>
      <c r="I46" s="475">
        <f>'11.F&amp;V Crop Production details'!H115</f>
        <v>0.0</v>
      </c>
    </row>
    <row r="47" spans="8:8">
      <c r="A47" s="136">
        <f>'11.F&amp;V Crop Production details'!A116</f>
        <v>0.0</v>
      </c>
      <c r="B47" s="474"/>
      <c r="C47" s="475">
        <f>'11.F&amp;V Crop Production details'!B116</f>
        <v>0.0</v>
      </c>
      <c r="D47" s="475">
        <f>'11.F&amp;V Crop Production details'!C116</f>
        <v>0.0</v>
      </c>
      <c r="E47" s="475">
        <f>'11.F&amp;V Crop Production details'!D116</f>
        <v>0.0</v>
      </c>
      <c r="F47" s="475">
        <f>'11.F&amp;V Crop Production details'!E116</f>
        <v>0.0</v>
      </c>
      <c r="G47" s="475">
        <f>'11.F&amp;V Crop Production details'!F116</f>
        <v>0.0</v>
      </c>
      <c r="H47" s="475">
        <f>'11.F&amp;V Crop Production details'!G116</f>
        <v>0.0</v>
      </c>
      <c r="I47" s="475">
        <f>'11.F&amp;V Crop Production details'!H116</f>
        <v>0.0</v>
      </c>
    </row>
    <row r="48" spans="8:8">
      <c r="A48" s="136">
        <f>'11.F&amp;V Crop Production details'!A117</f>
        <v>0.0</v>
      </c>
      <c r="B48" s="474"/>
      <c r="C48" s="475">
        <f>'11.F&amp;V Crop Production details'!B117</f>
        <v>0.0</v>
      </c>
      <c r="D48" s="475">
        <f>'11.F&amp;V Crop Production details'!C117</f>
        <v>0.0</v>
      </c>
      <c r="E48" s="475">
        <f>'11.F&amp;V Crop Production details'!D117</f>
        <v>0.0</v>
      </c>
      <c r="F48" s="475">
        <f>'11.F&amp;V Crop Production details'!E117</f>
        <v>0.0</v>
      </c>
      <c r="G48" s="475">
        <f>'11.F&amp;V Crop Production details'!F117</f>
        <v>0.0</v>
      </c>
      <c r="H48" s="475">
        <f>'11.F&amp;V Crop Production details'!G117</f>
        <v>0.0</v>
      </c>
      <c r="I48" s="475">
        <f>'11.F&amp;V Crop Production details'!H117</f>
        <v>0.0</v>
      </c>
    </row>
    <row r="49" spans="8:8">
      <c r="A49" s="136">
        <f>'11.F&amp;V Crop Production details'!A118</f>
        <v>0.0</v>
      </c>
      <c r="B49" s="474"/>
      <c r="C49" s="475">
        <f>'11.F&amp;V Crop Production details'!B118</f>
        <v>0.0</v>
      </c>
      <c r="D49" s="475">
        <f>'11.F&amp;V Crop Production details'!C118</f>
        <v>0.0</v>
      </c>
      <c r="E49" s="475">
        <f>'11.F&amp;V Crop Production details'!D118</f>
        <v>0.0</v>
      </c>
      <c r="F49" s="475">
        <f>'11.F&amp;V Crop Production details'!E118</f>
        <v>0.0</v>
      </c>
      <c r="G49" s="475">
        <f>'11.F&amp;V Crop Production details'!F118</f>
        <v>0.0</v>
      </c>
      <c r="H49" s="475">
        <f>'11.F&amp;V Crop Production details'!G118</f>
        <v>0.0</v>
      </c>
      <c r="I49" s="475">
        <f>'11.F&amp;V Crop Production details'!H118</f>
        <v>0.0</v>
      </c>
    </row>
    <row r="50" spans="8:8">
      <c r="A50" s="136">
        <f>'11.F&amp;V Crop Production details'!A119</f>
        <v>0.0</v>
      </c>
      <c r="B50" s="474"/>
      <c r="C50" s="475">
        <f>'11.F&amp;V Crop Production details'!B119</f>
        <v>0.0</v>
      </c>
      <c r="D50" s="475">
        <f>'11.F&amp;V Crop Production details'!C119</f>
        <v>0.0</v>
      </c>
      <c r="E50" s="475">
        <f>'11.F&amp;V Crop Production details'!D119</f>
        <v>0.0</v>
      </c>
      <c r="F50" s="475">
        <f>'11.F&amp;V Crop Production details'!E119</f>
        <v>0.0</v>
      </c>
      <c r="G50" s="475">
        <f>'11.F&amp;V Crop Production details'!F119</f>
        <v>0.0</v>
      </c>
      <c r="H50" s="475">
        <f>'11.F&amp;V Crop Production details'!G119</f>
        <v>0.0</v>
      </c>
      <c r="I50" s="475">
        <f>'11.F&amp;V Crop Production details'!H119</f>
        <v>0.0</v>
      </c>
    </row>
    <row r="51" spans="8:8">
      <c r="A51" s="136">
        <f>'11.F&amp;V Crop Production details'!A120</f>
        <v>0.0</v>
      </c>
      <c r="B51" s="474"/>
      <c r="C51" s="475">
        <f>'11.F&amp;V Crop Production details'!B120</f>
        <v>0.0</v>
      </c>
      <c r="D51" s="475">
        <f>'11.F&amp;V Crop Production details'!C120</f>
        <v>0.0</v>
      </c>
      <c r="E51" s="475">
        <f>'11.F&amp;V Crop Production details'!D120</f>
        <v>0.0</v>
      </c>
      <c r="F51" s="475">
        <f>'11.F&amp;V Crop Production details'!E120</f>
        <v>0.0</v>
      </c>
      <c r="G51" s="475">
        <f>'11.F&amp;V Crop Production details'!F120</f>
        <v>0.0</v>
      </c>
      <c r="H51" s="475">
        <f>'11.F&amp;V Crop Production details'!G120</f>
        <v>0.0</v>
      </c>
      <c r="I51" s="475">
        <f>'11.F&amp;V Crop Production details'!H120</f>
        <v>0.0</v>
      </c>
    </row>
    <row r="52" spans="8:8">
      <c r="A52" s="136">
        <f>'11.F&amp;V Crop Production details'!A121</f>
        <v>0.0</v>
      </c>
      <c r="B52" s="474"/>
      <c r="C52" s="475">
        <f>'11.F&amp;V Crop Production details'!B121</f>
        <v>0.0</v>
      </c>
      <c r="D52" s="475">
        <f>'11.F&amp;V Crop Production details'!C121</f>
        <v>0.0</v>
      </c>
      <c r="E52" s="475">
        <f>'11.F&amp;V Crop Production details'!D121</f>
        <v>0.0</v>
      </c>
      <c r="F52" s="475">
        <f>'11.F&amp;V Crop Production details'!E121</f>
        <v>0.0</v>
      </c>
      <c r="G52" s="475">
        <f>'11.F&amp;V Crop Production details'!F121</f>
        <v>0.0</v>
      </c>
      <c r="H52" s="475">
        <f>'11.F&amp;V Crop Production details'!G121</f>
        <v>0.0</v>
      </c>
      <c r="I52" s="475">
        <f>'11.F&amp;V Crop Production details'!H121</f>
        <v>0.0</v>
      </c>
    </row>
    <row r="53" spans="8:8">
      <c r="A53" s="136">
        <f>'11.F&amp;V Crop Production details'!A122</f>
        <v>0.0</v>
      </c>
      <c r="B53" s="474"/>
      <c r="C53" s="475">
        <f>'11.F&amp;V Crop Production details'!B122</f>
        <v>0.0</v>
      </c>
      <c r="D53" s="475">
        <f>'11.F&amp;V Crop Production details'!C122</f>
        <v>0.0</v>
      </c>
      <c r="E53" s="475">
        <f>'11.F&amp;V Crop Production details'!D122</f>
        <v>0.0</v>
      </c>
      <c r="F53" s="475">
        <f>'11.F&amp;V Crop Production details'!E122</f>
        <v>0.0</v>
      </c>
      <c r="G53" s="475">
        <f>'11.F&amp;V Crop Production details'!F122</f>
        <v>0.0</v>
      </c>
      <c r="H53" s="475">
        <f>'11.F&amp;V Crop Production details'!G122</f>
        <v>0.0</v>
      </c>
      <c r="I53" s="475">
        <f>'11.F&amp;V Crop Production details'!H122</f>
        <v>0.0</v>
      </c>
    </row>
    <row r="54" spans="8:8">
      <c r="A54" s="136" t="str">
        <f>'11.F&amp;V Crop Production details'!A123</f>
        <v>Pomegranate</v>
      </c>
      <c r="B54" s="474"/>
      <c r="C54" s="475">
        <f>'11.F&amp;V Crop Production details'!B123</f>
        <v>0.0</v>
      </c>
      <c r="D54" s="475">
        <f>'11.F&amp;V Crop Production details'!C123</f>
        <v>0.0</v>
      </c>
      <c r="E54" s="475">
        <f>'11.F&amp;V Crop Production details'!D123</f>
        <v>0.0</v>
      </c>
      <c r="F54" s="475">
        <f>'11.F&amp;V Crop Production details'!E123</f>
        <v>0.0</v>
      </c>
      <c r="G54" s="475">
        <f>'11.F&amp;V Crop Production details'!F123</f>
        <v>0.0</v>
      </c>
      <c r="H54" s="475">
        <f>'11.F&amp;V Crop Production details'!G123</f>
        <v>0.0</v>
      </c>
      <c r="I54" s="475">
        <f>'11.F&amp;V Crop Production details'!H123</f>
        <v>0.0</v>
      </c>
    </row>
    <row r="55" spans="8:8">
      <c r="A55" s="136" t="str">
        <f>'11.F&amp;V Crop Production details'!A124</f>
        <v>Custard Apple</v>
      </c>
      <c r="B55" s="474"/>
      <c r="C55" s="475">
        <f>'11.F&amp;V Crop Production details'!B124</f>
        <v>0.0</v>
      </c>
      <c r="D55" s="475">
        <f>'11.F&amp;V Crop Production details'!C124</f>
        <v>0.0</v>
      </c>
      <c r="E55" s="475">
        <f>'11.F&amp;V Crop Production details'!D124</f>
        <v>0.0</v>
      </c>
      <c r="F55" s="475">
        <f>'11.F&amp;V Crop Production details'!E124</f>
        <v>0.0</v>
      </c>
      <c r="G55" s="475">
        <f>'11.F&amp;V Crop Production details'!F124</f>
        <v>0.0</v>
      </c>
      <c r="H55" s="475">
        <f>'11.F&amp;V Crop Production details'!G124</f>
        <v>0.0</v>
      </c>
      <c r="I55" s="475">
        <f>'11.F&amp;V Crop Production details'!H124</f>
        <v>0.0</v>
      </c>
    </row>
    <row r="56" spans="8:8">
      <c r="A56" s="136" t="str">
        <f>'11.F&amp;V Crop Production details'!A125</f>
        <v>Guava</v>
      </c>
      <c r="B56" s="474"/>
      <c r="C56" s="475">
        <f>'11.F&amp;V Crop Production details'!B125</f>
        <v>0.0</v>
      </c>
      <c r="D56" s="475">
        <f>'11.F&amp;V Crop Production details'!C125</f>
        <v>0.0</v>
      </c>
      <c r="E56" s="475">
        <f>'11.F&amp;V Crop Production details'!D125</f>
        <v>0.0</v>
      </c>
      <c r="F56" s="475">
        <f>'11.F&amp;V Crop Production details'!E125</f>
        <v>0.0</v>
      </c>
      <c r="G56" s="475">
        <f>'11.F&amp;V Crop Production details'!F125</f>
        <v>0.0</v>
      </c>
      <c r="H56" s="475">
        <f>'11.F&amp;V Crop Production details'!G125</f>
        <v>0.0</v>
      </c>
      <c r="I56" s="475">
        <f>'11.F&amp;V Crop Production details'!H125</f>
        <v>0.0</v>
      </c>
    </row>
    <row r="57" spans="8:8">
      <c r="A57" s="136" t="str">
        <f>'11.F&amp;V Crop Production details'!A126</f>
        <v>Citrus</v>
      </c>
      <c r="B57" s="474"/>
      <c r="C57" s="475">
        <f>'11.F&amp;V Crop Production details'!B126</f>
        <v>0.0</v>
      </c>
      <c r="D57" s="475">
        <f>'11.F&amp;V Crop Production details'!C126</f>
        <v>0.0</v>
      </c>
      <c r="E57" s="475">
        <f>'11.F&amp;V Crop Production details'!D126</f>
        <v>0.0</v>
      </c>
      <c r="F57" s="475">
        <f>'11.F&amp;V Crop Production details'!E126</f>
        <v>0.0</v>
      </c>
      <c r="G57" s="475">
        <f>'11.F&amp;V Crop Production details'!F126</f>
        <v>0.0</v>
      </c>
      <c r="H57" s="475">
        <f>'11.F&amp;V Crop Production details'!G126</f>
        <v>0.0</v>
      </c>
      <c r="I57" s="475">
        <f>'11.F&amp;V Crop Production details'!H126</f>
        <v>0.0</v>
      </c>
    </row>
    <row r="58" spans="8:8">
      <c r="A58" s="136"/>
      <c r="B58" s="474"/>
      <c r="C58" s="474"/>
      <c r="D58" s="474"/>
      <c r="E58" s="474"/>
      <c r="F58" s="474"/>
      <c r="G58" s="474"/>
      <c r="H58" s="474"/>
      <c r="I58" s="474"/>
    </row>
    <row r="59" spans="8:8">
      <c r="A59" s="348" t="s">
        <v>183</v>
      </c>
      <c r="B59" s="136"/>
      <c r="C59" s="136"/>
      <c r="D59" s="136"/>
      <c r="E59" s="136"/>
      <c r="F59" s="136"/>
      <c r="G59" s="136"/>
      <c r="H59" s="136"/>
      <c r="I59" s="136"/>
    </row>
    <row r="60" spans="8:8">
      <c r="A60" s="348" t="s">
        <v>184</v>
      </c>
      <c r="B60" s="136"/>
      <c r="C60" s="136"/>
      <c r="D60" s="136"/>
      <c r="E60" s="136"/>
      <c r="F60" s="136"/>
      <c r="G60" s="136"/>
      <c r="H60" s="136"/>
      <c r="I60" s="136"/>
    </row>
    <row r="61" spans="8:8">
      <c r="A61" s="348" t="str">
        <f t="shared" si="0" ref="A61:A92">A8</f>
        <v>Kharif Crops</v>
      </c>
      <c r="B61" s="136"/>
      <c r="C61" s="136"/>
      <c r="D61" s="136"/>
      <c r="E61" s="136"/>
      <c r="F61" s="136"/>
      <c r="G61" s="136"/>
      <c r="H61" s="136"/>
      <c r="I61" s="136"/>
    </row>
    <row r="62" spans="8:8">
      <c r="A62" s="136" t="str">
        <f t="shared" si="0"/>
        <v>Soybean</v>
      </c>
      <c r="B62" s="79">
        <v>40.0</v>
      </c>
      <c r="C62" s="476">
        <f>$B62*C9</f>
        <v>0.0</v>
      </c>
      <c r="D62" s="476">
        <f>$B62*D9</f>
        <v>0.0</v>
      </c>
      <c r="E62" s="476">
        <f t="shared" si="1" ref="E62:I62">$B62*E9</f>
        <v>0.0</v>
      </c>
      <c r="F62" s="476">
        <f t="shared" si="1"/>
        <v>0.0</v>
      </c>
      <c r="G62" s="476">
        <f t="shared" si="1"/>
        <v>0.0</v>
      </c>
      <c r="H62" s="476">
        <f t="shared" si="1"/>
        <v>0.0</v>
      </c>
      <c r="I62" s="476">
        <f t="shared" si="1"/>
        <v>0.0</v>
      </c>
    </row>
    <row r="63" spans="8:8">
      <c r="A63" s="136" t="str">
        <f t="shared" si="0"/>
        <v>Red Gram/Tur</v>
      </c>
      <c r="B63" s="79">
        <v>5.0</v>
      </c>
      <c r="C63" s="476">
        <f>$B63*C10</f>
        <v>0.0</v>
      </c>
      <c r="D63" s="476">
        <f t="shared" si="2" ref="D63:I63">$B$63*D10</f>
        <v>0.0</v>
      </c>
      <c r="E63" s="476">
        <f t="shared" si="2"/>
        <v>0.0</v>
      </c>
      <c r="F63" s="476">
        <f t="shared" si="2"/>
        <v>0.0</v>
      </c>
      <c r="G63" s="476">
        <f t="shared" si="2"/>
        <v>0.0</v>
      </c>
      <c r="H63" s="476">
        <f t="shared" si="2"/>
        <v>0.0</v>
      </c>
      <c r="I63" s="476">
        <f t="shared" si="2"/>
        <v>0.0</v>
      </c>
    </row>
    <row r="64" spans="8:8">
      <c r="A64" s="136" t="str">
        <f t="shared" si="0"/>
        <v>Paddy/Rice</v>
      </c>
      <c r="B64" s="79">
        <v>15.0</v>
      </c>
      <c r="C64" s="476">
        <f>$B64*C11</f>
        <v>0.0</v>
      </c>
      <c r="D64" s="476">
        <f t="shared" si="3" ref="D64:I64">$B$64*D11</f>
        <v>0.0</v>
      </c>
      <c r="E64" s="476">
        <f t="shared" si="3"/>
        <v>0.0</v>
      </c>
      <c r="F64" s="476">
        <f t="shared" si="3"/>
        <v>0.0</v>
      </c>
      <c r="G64" s="476">
        <f t="shared" si="3"/>
        <v>0.0</v>
      </c>
      <c r="H64" s="476">
        <f t="shared" si="3"/>
        <v>0.0</v>
      </c>
      <c r="I64" s="476">
        <f t="shared" si="3"/>
        <v>0.0</v>
      </c>
    </row>
    <row r="65" spans="8:8">
      <c r="A65" s="136" t="str">
        <f t="shared" si="0"/>
        <v>Green Gram/ Moong</v>
      </c>
      <c r="B65" s="79">
        <v>15.0</v>
      </c>
      <c r="C65" s="476">
        <f>$B65*C12</f>
        <v>0.0</v>
      </c>
      <c r="D65" s="476">
        <f t="shared" si="4" ref="D65:I67">$B65*D12</f>
        <v>0.0</v>
      </c>
      <c r="E65" s="476">
        <f t="shared" si="4"/>
        <v>0.0</v>
      </c>
      <c r="F65" s="476">
        <f t="shared" si="4"/>
        <v>0.0</v>
      </c>
      <c r="G65" s="476">
        <f t="shared" si="4"/>
        <v>0.0</v>
      </c>
      <c r="H65" s="476">
        <f t="shared" si="4"/>
        <v>0.0</v>
      </c>
      <c r="I65" s="476">
        <f t="shared" si="4"/>
        <v>0.0</v>
      </c>
    </row>
    <row r="66" spans="8:8">
      <c r="A66" s="136" t="str">
        <f t="shared" si="0"/>
        <v>Maize</v>
      </c>
      <c r="B66" s="79">
        <v>25.0</v>
      </c>
      <c r="C66" s="476">
        <f>$B66*C13</f>
        <v>0.0</v>
      </c>
      <c r="D66" s="476">
        <f t="shared" si="4"/>
        <v>0.0</v>
      </c>
      <c r="E66" s="476">
        <f t="shared" si="4"/>
        <v>0.0</v>
      </c>
      <c r="F66" s="476">
        <f t="shared" si="4"/>
        <v>0.0</v>
      </c>
      <c r="G66" s="476">
        <f t="shared" si="4"/>
        <v>0.0</v>
      </c>
      <c r="H66" s="476">
        <f t="shared" si="4"/>
        <v>0.0</v>
      </c>
      <c r="I66" s="476">
        <f t="shared" si="4"/>
        <v>0.0</v>
      </c>
    </row>
    <row r="67" spans="8:8">
      <c r="A67" s="136" t="str">
        <f t="shared" si="0"/>
        <v>Black Gram/Udid</v>
      </c>
      <c r="B67" s="79">
        <v>15.0</v>
      </c>
      <c r="C67" s="476">
        <f>$B67*C14</f>
        <v>0.0</v>
      </c>
      <c r="D67" s="476">
        <f t="shared" si="4"/>
        <v>0.0</v>
      </c>
      <c r="E67" s="476">
        <f t="shared" si="4"/>
        <v>0.0</v>
      </c>
      <c r="F67" s="476">
        <f t="shared" si="4"/>
        <v>0.0</v>
      </c>
      <c r="G67" s="476">
        <f t="shared" si="4"/>
        <v>0.0</v>
      </c>
      <c r="H67" s="476">
        <f t="shared" si="4"/>
        <v>0.0</v>
      </c>
      <c r="I67" s="476">
        <f t="shared" si="4"/>
        <v>0.0</v>
      </c>
    </row>
    <row r="68" spans="8:8">
      <c r="A68" s="136" t="str">
        <f t="shared" si="0"/>
        <v>Bajra</v>
      </c>
      <c r="B68" s="79">
        <v>5.0</v>
      </c>
      <c r="C68" s="476">
        <f t="shared" si="5" ref="C68:I68">$B68*C15</f>
        <v>0.0</v>
      </c>
      <c r="D68" s="476">
        <f t="shared" si="5"/>
        <v>0.0</v>
      </c>
      <c r="E68" s="476">
        <f t="shared" si="5"/>
        <v>0.0</v>
      </c>
      <c r="F68" s="476">
        <f t="shared" si="5"/>
        <v>0.0</v>
      </c>
      <c r="G68" s="476">
        <f t="shared" si="5"/>
        <v>0.0</v>
      </c>
      <c r="H68" s="476">
        <f t="shared" si="5"/>
        <v>0.0</v>
      </c>
      <c r="I68" s="476">
        <f t="shared" si="5"/>
        <v>0.0</v>
      </c>
    </row>
    <row r="69" spans="8:8">
      <c r="A69" s="136" t="str">
        <f t="shared" si="0"/>
        <v>Jawar</v>
      </c>
      <c r="B69" s="79">
        <v>5.0</v>
      </c>
      <c r="C69" s="476">
        <f t="shared" si="6" ref="C69:I69">$B69*C16</f>
        <v>0.0</v>
      </c>
      <c r="D69" s="476">
        <f t="shared" si="6"/>
        <v>0.0</v>
      </c>
      <c r="E69" s="476">
        <f t="shared" si="6"/>
        <v>0.0</v>
      </c>
      <c r="F69" s="476">
        <f t="shared" si="6"/>
        <v>0.0</v>
      </c>
      <c r="G69" s="476">
        <f t="shared" si="6"/>
        <v>0.0</v>
      </c>
      <c r="H69" s="476">
        <f t="shared" si="6"/>
        <v>0.0</v>
      </c>
      <c r="I69" s="476">
        <f t="shared" si="6"/>
        <v>0.0</v>
      </c>
    </row>
    <row r="70" spans="8:8">
      <c r="A70" s="348" t="str">
        <f t="shared" si="0"/>
        <v>Rabi Crop</v>
      </c>
      <c r="B70" s="79"/>
      <c r="C70" s="476"/>
      <c r="D70" s="476"/>
      <c r="E70" s="476"/>
      <c r="F70" s="476"/>
      <c r="G70" s="476"/>
      <c r="H70" s="476"/>
      <c r="I70" s="476"/>
    </row>
    <row r="71" spans="8:8">
      <c r="A71" s="136" t="str">
        <f t="shared" si="0"/>
        <v>Wheat</v>
      </c>
      <c r="B71" s="79">
        <v>20.0</v>
      </c>
      <c r="C71" s="476">
        <f t="shared" si="7" ref="C71:I71">$B71*C18</f>
        <v>0.0</v>
      </c>
      <c r="D71" s="476">
        <f t="shared" si="7"/>
        <v>0.0</v>
      </c>
      <c r="E71" s="476">
        <f t="shared" si="7"/>
        <v>0.0</v>
      </c>
      <c r="F71" s="476">
        <f t="shared" si="7"/>
        <v>0.0</v>
      </c>
      <c r="G71" s="476">
        <f t="shared" si="7"/>
        <v>0.0</v>
      </c>
      <c r="H71" s="476">
        <f t="shared" si="7"/>
        <v>0.0</v>
      </c>
      <c r="I71" s="476">
        <f t="shared" si="7"/>
        <v>0.0</v>
      </c>
    </row>
    <row r="72" spans="8:8">
      <c r="A72" s="136" t="str">
        <f t="shared" si="0"/>
        <v>Bengal Gram/Channa</v>
      </c>
      <c r="B72" s="79">
        <v>25.0</v>
      </c>
      <c r="C72" s="476">
        <f t="shared" si="8" ref="C72:I72">$B72*C19</f>
        <v>0.0</v>
      </c>
      <c r="D72" s="476">
        <f t="shared" si="8"/>
        <v>0.0</v>
      </c>
      <c r="E72" s="476">
        <f t="shared" si="8"/>
        <v>0.0</v>
      </c>
      <c r="F72" s="476">
        <f t="shared" si="8"/>
        <v>0.0</v>
      </c>
      <c r="G72" s="476">
        <f t="shared" si="8"/>
        <v>0.0</v>
      </c>
      <c r="H72" s="476">
        <f t="shared" si="8"/>
        <v>0.0</v>
      </c>
      <c r="I72" s="476">
        <f t="shared" si="8"/>
        <v>0.0</v>
      </c>
    </row>
    <row r="73" spans="8:8">
      <c r="A73" s="136" t="str">
        <f t="shared" si="0"/>
        <v>Jawar</v>
      </c>
      <c r="B73" s="79">
        <v>5.0</v>
      </c>
      <c r="C73" s="476">
        <f t="shared" si="9" ref="C73:I73">$B73*C20</f>
        <v>0.0</v>
      </c>
      <c r="D73" s="476">
        <f t="shared" si="9"/>
        <v>0.0</v>
      </c>
      <c r="E73" s="476">
        <f t="shared" si="9"/>
        <v>0.0</v>
      </c>
      <c r="F73" s="476">
        <f t="shared" si="9"/>
        <v>0.0</v>
      </c>
      <c r="G73" s="476">
        <f t="shared" si="9"/>
        <v>0.0</v>
      </c>
      <c r="H73" s="476">
        <f t="shared" si="9"/>
        <v>0.0</v>
      </c>
      <c r="I73" s="476">
        <f t="shared" si="9"/>
        <v>0.0</v>
      </c>
    </row>
    <row r="74" spans="8:8">
      <c r="A74" s="136" t="str">
        <f t="shared" si="0"/>
        <v>Maize</v>
      </c>
      <c r="B74" s="79">
        <v>20.0</v>
      </c>
      <c r="C74" s="476">
        <f t="shared" si="10" ref="C74:I74">$B74*C21</f>
        <v>0.0</v>
      </c>
      <c r="D74" s="476">
        <f t="shared" si="10"/>
        <v>0.0</v>
      </c>
      <c r="E74" s="476">
        <f t="shared" si="10"/>
        <v>0.0</v>
      </c>
      <c r="F74" s="476">
        <f t="shared" si="10"/>
        <v>0.0</v>
      </c>
      <c r="G74" s="476">
        <f t="shared" si="10"/>
        <v>0.0</v>
      </c>
      <c r="H74" s="476">
        <f t="shared" si="10"/>
        <v>0.0</v>
      </c>
      <c r="I74" s="476">
        <f t="shared" si="10"/>
        <v>0.0</v>
      </c>
    </row>
    <row r="75" spans="8:8">
      <c r="A75" s="136" t="str">
        <f t="shared" si="0"/>
        <v>Safflower</v>
      </c>
      <c r="B75" s="79"/>
      <c r="C75" s="476">
        <f t="shared" si="11" ref="C75:I75">$B75*C22</f>
        <v>0.0</v>
      </c>
      <c r="D75" s="476">
        <f t="shared" si="11"/>
        <v>0.0</v>
      </c>
      <c r="E75" s="476">
        <f t="shared" si="11"/>
        <v>0.0</v>
      </c>
      <c r="F75" s="476">
        <f t="shared" si="11"/>
        <v>0.0</v>
      </c>
      <c r="G75" s="476">
        <f t="shared" si="11"/>
        <v>0.0</v>
      </c>
      <c r="H75" s="476">
        <f t="shared" si="11"/>
        <v>0.0</v>
      </c>
      <c r="I75" s="476">
        <f t="shared" si="11"/>
        <v>0.0</v>
      </c>
    </row>
    <row r="76" spans="8:8">
      <c r="A76" s="136">
        <f t="shared" si="0"/>
        <v>0.0</v>
      </c>
      <c r="B76" s="79"/>
      <c r="C76" s="476">
        <f t="shared" si="12" ref="C76:I76">$B76*C23</f>
        <v>0.0</v>
      </c>
      <c r="D76" s="476">
        <f t="shared" si="12"/>
        <v>0.0</v>
      </c>
      <c r="E76" s="476">
        <f t="shared" si="12"/>
        <v>0.0</v>
      </c>
      <c r="F76" s="476">
        <f t="shared" si="12"/>
        <v>0.0</v>
      </c>
      <c r="G76" s="476">
        <f t="shared" si="12"/>
        <v>0.0</v>
      </c>
      <c r="H76" s="476">
        <f t="shared" si="12"/>
        <v>0.0</v>
      </c>
      <c r="I76" s="476">
        <f t="shared" si="12"/>
        <v>0.0</v>
      </c>
    </row>
    <row r="77" spans="8:8">
      <c r="A77" s="136">
        <f t="shared" si="0"/>
        <v>0.0</v>
      </c>
      <c r="B77" s="79"/>
      <c r="C77" s="476">
        <f t="shared" si="13" ref="C77:I77">$B77*C24</f>
        <v>0.0</v>
      </c>
      <c r="D77" s="476">
        <f t="shared" si="13"/>
        <v>0.0</v>
      </c>
      <c r="E77" s="476">
        <f t="shared" si="13"/>
        <v>0.0</v>
      </c>
      <c r="F77" s="476">
        <f t="shared" si="13"/>
        <v>0.0</v>
      </c>
      <c r="G77" s="476">
        <f t="shared" si="13"/>
        <v>0.0</v>
      </c>
      <c r="H77" s="476">
        <f t="shared" si="13"/>
        <v>0.0</v>
      </c>
      <c r="I77" s="476">
        <f t="shared" si="13"/>
        <v>0.0</v>
      </c>
    </row>
    <row r="78" spans="8:8">
      <c r="A78" s="136">
        <f t="shared" si="0"/>
        <v>0.0</v>
      </c>
      <c r="B78" s="79"/>
      <c r="C78" s="476">
        <f t="shared" si="14" ref="C78:I78">$B78*C25</f>
        <v>0.0</v>
      </c>
      <c r="D78" s="476">
        <f t="shared" si="14"/>
        <v>0.0</v>
      </c>
      <c r="E78" s="476">
        <f t="shared" si="14"/>
        <v>0.0</v>
      </c>
      <c r="F78" s="476">
        <f t="shared" si="14"/>
        <v>0.0</v>
      </c>
      <c r="G78" s="476">
        <f t="shared" si="14"/>
        <v>0.0</v>
      </c>
      <c r="H78" s="476">
        <f t="shared" si="14"/>
        <v>0.0</v>
      </c>
      <c r="I78" s="476">
        <f t="shared" si="14"/>
        <v>0.0</v>
      </c>
    </row>
    <row r="79" spans="8:8">
      <c r="A79" s="348" t="str">
        <f t="shared" si="0"/>
        <v>Summer</v>
      </c>
      <c r="B79" s="79"/>
      <c r="C79" s="476"/>
      <c r="D79" s="476"/>
      <c r="E79" s="476"/>
      <c r="F79" s="476"/>
      <c r="G79" s="476"/>
      <c r="H79" s="476"/>
      <c r="I79" s="476"/>
    </row>
    <row r="80" spans="8:8">
      <c r="A80" s="136" t="str">
        <f t="shared" si="0"/>
        <v>Groundnut</v>
      </c>
      <c r="B80" s="79"/>
      <c r="C80" s="476">
        <f t="shared" si="15" ref="C80:I80">$B80*C27</f>
        <v>0.0</v>
      </c>
      <c r="D80" s="476">
        <f t="shared" si="15"/>
        <v>0.0</v>
      </c>
      <c r="E80" s="476">
        <f t="shared" si="15"/>
        <v>0.0</v>
      </c>
      <c r="F80" s="476">
        <f t="shared" si="15"/>
        <v>0.0</v>
      </c>
      <c r="G80" s="476">
        <f t="shared" si="15"/>
        <v>0.0</v>
      </c>
      <c r="H80" s="476">
        <f t="shared" si="15"/>
        <v>0.0</v>
      </c>
      <c r="I80" s="476">
        <f t="shared" si="15"/>
        <v>0.0</v>
      </c>
    </row>
    <row r="81" spans="8:8">
      <c r="A81" s="136">
        <f t="shared" si="0"/>
        <v>0.0</v>
      </c>
      <c r="B81" s="79"/>
      <c r="C81" s="476">
        <f t="shared" si="16" ref="C81:I81">$B81*C28</f>
        <v>0.0</v>
      </c>
      <c r="D81" s="476">
        <f t="shared" si="16"/>
        <v>0.0</v>
      </c>
      <c r="E81" s="476">
        <f t="shared" si="16"/>
        <v>0.0</v>
      </c>
      <c r="F81" s="476">
        <f t="shared" si="16"/>
        <v>0.0</v>
      </c>
      <c r="G81" s="476">
        <f t="shared" si="16"/>
        <v>0.0</v>
      </c>
      <c r="H81" s="476">
        <f t="shared" si="16"/>
        <v>0.0</v>
      </c>
      <c r="I81" s="476">
        <f t="shared" si="16"/>
        <v>0.0</v>
      </c>
    </row>
    <row r="82" spans="8:8">
      <c r="A82" s="136">
        <f t="shared" si="0"/>
        <v>0.0</v>
      </c>
      <c r="B82" s="79"/>
      <c r="C82" s="476">
        <f t="shared" si="17" ref="C82:I82">$B82*C29</f>
        <v>0.0</v>
      </c>
      <c r="D82" s="476">
        <f t="shared" si="17"/>
        <v>0.0</v>
      </c>
      <c r="E82" s="476">
        <f t="shared" si="17"/>
        <v>0.0</v>
      </c>
      <c r="F82" s="476">
        <f t="shared" si="17"/>
        <v>0.0</v>
      </c>
      <c r="G82" s="476">
        <f t="shared" si="17"/>
        <v>0.0</v>
      </c>
      <c r="H82" s="476">
        <f t="shared" si="17"/>
        <v>0.0</v>
      </c>
      <c r="I82" s="476">
        <f t="shared" si="17"/>
        <v>0.0</v>
      </c>
    </row>
    <row r="83" spans="8:8">
      <c r="A83" s="136">
        <f t="shared" si="0"/>
        <v>0.0</v>
      </c>
      <c r="B83" s="79"/>
      <c r="C83" s="476">
        <f t="shared" si="18" ref="C83:I83">$B83*C30</f>
        <v>0.0</v>
      </c>
      <c r="D83" s="476">
        <f t="shared" si="18"/>
        <v>0.0</v>
      </c>
      <c r="E83" s="476">
        <f t="shared" si="18"/>
        <v>0.0</v>
      </c>
      <c r="F83" s="476">
        <f t="shared" si="18"/>
        <v>0.0</v>
      </c>
      <c r="G83" s="476">
        <f t="shared" si="18"/>
        <v>0.0</v>
      </c>
      <c r="H83" s="476">
        <f t="shared" si="18"/>
        <v>0.0</v>
      </c>
      <c r="I83" s="476">
        <f t="shared" si="18"/>
        <v>0.0</v>
      </c>
    </row>
    <row r="84" spans="8:8">
      <c r="A84" s="136">
        <f t="shared" si="0"/>
        <v>0.0</v>
      </c>
      <c r="B84" s="79"/>
      <c r="C84" s="476">
        <f t="shared" si="19" ref="C84:I84">$B84*C31</f>
        <v>0.0</v>
      </c>
      <c r="D84" s="476">
        <f t="shared" si="19"/>
        <v>0.0</v>
      </c>
      <c r="E84" s="476">
        <f t="shared" si="19"/>
        <v>0.0</v>
      </c>
      <c r="F84" s="476">
        <f t="shared" si="19"/>
        <v>0.0</v>
      </c>
      <c r="G84" s="476">
        <f t="shared" si="19"/>
        <v>0.0</v>
      </c>
      <c r="H84" s="476">
        <f t="shared" si="19"/>
        <v>0.0</v>
      </c>
      <c r="I84" s="476">
        <f t="shared" si="19"/>
        <v>0.0</v>
      </c>
    </row>
    <row r="85" spans="8:8">
      <c r="A85" s="348" t="str">
        <f t="shared" si="0"/>
        <v>Fruit  &amp; Vegetables Crop Production Details</v>
      </c>
      <c r="B85" s="79"/>
      <c r="C85" s="476"/>
      <c r="D85" s="476"/>
      <c r="E85" s="476"/>
      <c r="F85" s="476"/>
      <c r="G85" s="476"/>
      <c r="H85" s="476"/>
      <c r="I85" s="476"/>
    </row>
    <row r="86" spans="8:8">
      <c r="A86" s="136" t="str">
        <f t="shared" si="0"/>
        <v>Onion</v>
      </c>
      <c r="B86" s="79"/>
      <c r="C86" s="476">
        <f t="shared" si="20" ref="C86:I86">$B86*C33</f>
        <v>0.0</v>
      </c>
      <c r="D86" s="476">
        <f t="shared" si="20"/>
        <v>0.0</v>
      </c>
      <c r="E86" s="476">
        <f t="shared" si="20"/>
        <v>0.0</v>
      </c>
      <c r="F86" s="476">
        <f t="shared" si="20"/>
        <v>0.0</v>
      </c>
      <c r="G86" s="476">
        <f t="shared" si="20"/>
        <v>0.0</v>
      </c>
      <c r="H86" s="476">
        <f t="shared" si="20"/>
        <v>0.0</v>
      </c>
      <c r="I86" s="476">
        <f t="shared" si="20"/>
        <v>0.0</v>
      </c>
    </row>
    <row r="87" spans="8:8">
      <c r="A87" s="136" t="str">
        <f t="shared" si="0"/>
        <v>Tomato</v>
      </c>
      <c r="B87" s="79"/>
      <c r="C87" s="476">
        <f t="shared" si="21" ref="C87:I87">$B87*C34</f>
        <v>0.0</v>
      </c>
      <c r="D87" s="476">
        <f t="shared" si="21"/>
        <v>0.0</v>
      </c>
      <c r="E87" s="476">
        <f t="shared" si="21"/>
        <v>0.0</v>
      </c>
      <c r="F87" s="476">
        <f t="shared" si="21"/>
        <v>0.0</v>
      </c>
      <c r="G87" s="476">
        <f t="shared" si="21"/>
        <v>0.0</v>
      </c>
      <c r="H87" s="476">
        <f t="shared" si="21"/>
        <v>0.0</v>
      </c>
      <c r="I87" s="476">
        <f t="shared" si="21"/>
        <v>0.0</v>
      </c>
    </row>
    <row r="88" spans="8:8">
      <c r="A88" s="136" t="str">
        <f t="shared" si="0"/>
        <v>Okra</v>
      </c>
      <c r="B88" s="79"/>
      <c r="C88" s="476">
        <f t="shared" si="22" ref="C88:I88">$B88*C35</f>
        <v>0.0</v>
      </c>
      <c r="D88" s="476">
        <f t="shared" si="22"/>
        <v>0.0</v>
      </c>
      <c r="E88" s="476">
        <f t="shared" si="22"/>
        <v>0.0</v>
      </c>
      <c r="F88" s="476">
        <f t="shared" si="22"/>
        <v>0.0</v>
      </c>
      <c r="G88" s="476">
        <f t="shared" si="22"/>
        <v>0.0</v>
      </c>
      <c r="H88" s="476">
        <f t="shared" si="22"/>
        <v>0.0</v>
      </c>
      <c r="I88" s="476">
        <f t="shared" si="22"/>
        <v>0.0</v>
      </c>
    </row>
    <row r="89" spans="8:8">
      <c r="A89" s="136" t="str">
        <f t="shared" si="0"/>
        <v>Chilli</v>
      </c>
      <c r="B89" s="79"/>
      <c r="C89" s="476">
        <f t="shared" si="23" ref="C89:I89">$B89*C36</f>
        <v>0.0</v>
      </c>
      <c r="D89" s="476">
        <f t="shared" si="23"/>
        <v>0.0</v>
      </c>
      <c r="E89" s="476">
        <f t="shared" si="23"/>
        <v>0.0</v>
      </c>
      <c r="F89" s="476">
        <f t="shared" si="23"/>
        <v>0.0</v>
      </c>
      <c r="G89" s="476">
        <f t="shared" si="23"/>
        <v>0.0</v>
      </c>
      <c r="H89" s="476">
        <f t="shared" si="23"/>
        <v>0.0</v>
      </c>
      <c r="I89" s="476">
        <f t="shared" si="23"/>
        <v>0.0</v>
      </c>
    </row>
    <row r="90" spans="8:8">
      <c r="A90" s="136" t="str">
        <f t="shared" si="0"/>
        <v>Potato</v>
      </c>
      <c r="B90" s="79"/>
      <c r="C90" s="476">
        <f t="shared" si="24" ref="C90:I90">$B90*C37</f>
        <v>0.0</v>
      </c>
      <c r="D90" s="476">
        <f t="shared" si="24"/>
        <v>0.0</v>
      </c>
      <c r="E90" s="476">
        <f t="shared" si="24"/>
        <v>0.0</v>
      </c>
      <c r="F90" s="476">
        <f t="shared" si="24"/>
        <v>0.0</v>
      </c>
      <c r="G90" s="476">
        <f t="shared" si="24"/>
        <v>0.0</v>
      </c>
      <c r="H90" s="476">
        <f t="shared" si="24"/>
        <v>0.0</v>
      </c>
      <c r="I90" s="476">
        <f t="shared" si="24"/>
        <v>0.0</v>
      </c>
    </row>
    <row r="91" spans="8:8">
      <c r="A91" s="136">
        <f t="shared" si="0"/>
        <v>0.0</v>
      </c>
      <c r="B91" s="79"/>
      <c r="C91" s="476">
        <f t="shared" si="25" ref="C91:I91">$B91*C38</f>
        <v>0.0</v>
      </c>
      <c r="D91" s="476">
        <f t="shared" si="25"/>
        <v>0.0</v>
      </c>
      <c r="E91" s="476">
        <f t="shared" si="25"/>
        <v>0.0</v>
      </c>
      <c r="F91" s="476">
        <f t="shared" si="25"/>
        <v>0.0</v>
      </c>
      <c r="G91" s="476">
        <f t="shared" si="25"/>
        <v>0.0</v>
      </c>
      <c r="H91" s="476">
        <f t="shared" si="25"/>
        <v>0.0</v>
      </c>
      <c r="I91" s="476">
        <f t="shared" si="25"/>
        <v>0.0</v>
      </c>
    </row>
    <row r="92" spans="8:8">
      <c r="A92" s="136">
        <f t="shared" si="0"/>
        <v>0.0</v>
      </c>
      <c r="B92" s="79"/>
      <c r="C92" s="476">
        <f t="shared" si="26" ref="C92:I92">$B92*C39</f>
        <v>0.0</v>
      </c>
      <c r="D92" s="476">
        <f t="shared" si="26"/>
        <v>0.0</v>
      </c>
      <c r="E92" s="476">
        <f t="shared" si="26"/>
        <v>0.0</v>
      </c>
      <c r="F92" s="476">
        <f t="shared" si="26"/>
        <v>0.0</v>
      </c>
      <c r="G92" s="476">
        <f t="shared" si="26"/>
        <v>0.0</v>
      </c>
      <c r="H92" s="476">
        <f t="shared" si="26"/>
        <v>0.0</v>
      </c>
      <c r="I92" s="476">
        <f t="shared" si="26"/>
        <v>0.0</v>
      </c>
    </row>
    <row r="93" spans="8:8">
      <c r="A93" s="136">
        <f t="shared" si="27" ref="A93:A110">A40</f>
        <v>0.0</v>
      </c>
      <c r="B93" s="79"/>
      <c r="C93" s="476">
        <f t="shared" si="28" ref="C93:I93">$B93*C40</f>
        <v>0.0</v>
      </c>
      <c r="D93" s="476">
        <f t="shared" si="28"/>
        <v>0.0</v>
      </c>
      <c r="E93" s="476">
        <f t="shared" si="28"/>
        <v>0.0</v>
      </c>
      <c r="F93" s="476">
        <f t="shared" si="28"/>
        <v>0.0</v>
      </c>
      <c r="G93" s="476">
        <f t="shared" si="28"/>
        <v>0.0</v>
      </c>
      <c r="H93" s="476">
        <f t="shared" si="28"/>
        <v>0.0</v>
      </c>
      <c r="I93" s="476">
        <f t="shared" si="28"/>
        <v>0.0</v>
      </c>
    </row>
    <row r="94" spans="8:8">
      <c r="A94" s="136">
        <f t="shared" si="27"/>
        <v>0.0</v>
      </c>
      <c r="B94" s="79"/>
      <c r="C94" s="476">
        <f t="shared" si="29" ref="C94:I94">$B94*C41</f>
        <v>0.0</v>
      </c>
      <c r="D94" s="476">
        <f t="shared" si="29"/>
        <v>0.0</v>
      </c>
      <c r="E94" s="476">
        <f t="shared" si="29"/>
        <v>0.0</v>
      </c>
      <c r="F94" s="476">
        <f t="shared" si="29"/>
        <v>0.0</v>
      </c>
      <c r="G94" s="476">
        <f t="shared" si="29"/>
        <v>0.0</v>
      </c>
      <c r="H94" s="476">
        <f t="shared" si="29"/>
        <v>0.0</v>
      </c>
      <c r="I94" s="476">
        <f t="shared" si="29"/>
        <v>0.0</v>
      </c>
    </row>
    <row r="95" spans="8:8">
      <c r="A95" s="136" t="str">
        <f t="shared" si="27"/>
        <v>Onion</v>
      </c>
      <c r="B95" s="79"/>
      <c r="C95" s="476">
        <f t="shared" si="30" ref="C95:I95">$B95*C42</f>
        <v>0.0</v>
      </c>
      <c r="D95" s="476">
        <f t="shared" si="30"/>
        <v>0.0</v>
      </c>
      <c r="E95" s="476">
        <f t="shared" si="30"/>
        <v>0.0</v>
      </c>
      <c r="F95" s="476">
        <f t="shared" si="30"/>
        <v>0.0</v>
      </c>
      <c r="G95" s="476">
        <f t="shared" si="30"/>
        <v>0.0</v>
      </c>
      <c r="H95" s="476">
        <f t="shared" si="30"/>
        <v>0.0</v>
      </c>
      <c r="I95" s="476">
        <f t="shared" si="30"/>
        <v>0.0</v>
      </c>
    </row>
    <row r="96" spans="8:8">
      <c r="A96" s="136" t="str">
        <f t="shared" si="27"/>
        <v>Tomato</v>
      </c>
      <c r="B96" s="79"/>
      <c r="C96" s="476">
        <f t="shared" si="31" ref="C96:I96">$B96*C43</f>
        <v>0.0</v>
      </c>
      <c r="D96" s="476">
        <f t="shared" si="31"/>
        <v>0.0</v>
      </c>
      <c r="E96" s="476">
        <f t="shared" si="31"/>
        <v>0.0</v>
      </c>
      <c r="F96" s="476">
        <f t="shared" si="31"/>
        <v>0.0</v>
      </c>
      <c r="G96" s="476">
        <f t="shared" si="31"/>
        <v>0.0</v>
      </c>
      <c r="H96" s="476">
        <f t="shared" si="31"/>
        <v>0.0</v>
      </c>
      <c r="I96" s="476">
        <f t="shared" si="31"/>
        <v>0.0</v>
      </c>
    </row>
    <row r="97" spans="8:8">
      <c r="A97" s="136" t="str">
        <f t="shared" si="27"/>
        <v>Okra</v>
      </c>
      <c r="B97" s="79"/>
      <c r="C97" s="476">
        <f t="shared" si="32" ref="C97:I97">$B97*C44</f>
        <v>0.0</v>
      </c>
      <c r="D97" s="476">
        <f t="shared" si="32"/>
        <v>0.0</v>
      </c>
      <c r="E97" s="476">
        <f t="shared" si="32"/>
        <v>0.0</v>
      </c>
      <c r="F97" s="476">
        <f t="shared" si="32"/>
        <v>0.0</v>
      </c>
      <c r="G97" s="476">
        <f t="shared" si="32"/>
        <v>0.0</v>
      </c>
      <c r="H97" s="476">
        <f t="shared" si="32"/>
        <v>0.0</v>
      </c>
      <c r="I97" s="476">
        <f t="shared" si="32"/>
        <v>0.0</v>
      </c>
    </row>
    <row r="98" spans="8:8">
      <c r="A98" s="136" t="str">
        <f t="shared" si="27"/>
        <v>Chilli</v>
      </c>
      <c r="B98" s="79"/>
      <c r="C98" s="476">
        <f t="shared" si="33" ref="C98:I98">$B98*C45</f>
        <v>0.0</v>
      </c>
      <c r="D98" s="476">
        <f t="shared" si="33"/>
        <v>0.0</v>
      </c>
      <c r="E98" s="476">
        <f t="shared" si="33"/>
        <v>0.0</v>
      </c>
      <c r="F98" s="476">
        <f t="shared" si="33"/>
        <v>0.0</v>
      </c>
      <c r="G98" s="476">
        <f t="shared" si="33"/>
        <v>0.0</v>
      </c>
      <c r="H98" s="476">
        <f t="shared" si="33"/>
        <v>0.0</v>
      </c>
      <c r="I98" s="476">
        <f t="shared" si="33"/>
        <v>0.0</v>
      </c>
    </row>
    <row r="99" spans="8:8">
      <c r="A99" s="136" t="str">
        <f t="shared" si="27"/>
        <v>Brinjal</v>
      </c>
      <c r="B99" s="79"/>
      <c r="C99" s="476">
        <f t="shared" si="34" ref="C99:I99">$B99*C46</f>
        <v>0.0</v>
      </c>
      <c r="D99" s="476">
        <f t="shared" si="34"/>
        <v>0.0</v>
      </c>
      <c r="E99" s="476">
        <f t="shared" si="34"/>
        <v>0.0</v>
      </c>
      <c r="F99" s="476">
        <f t="shared" si="34"/>
        <v>0.0</v>
      </c>
      <c r="G99" s="476">
        <f t="shared" si="34"/>
        <v>0.0</v>
      </c>
      <c r="H99" s="476">
        <f t="shared" si="34"/>
        <v>0.0</v>
      </c>
      <c r="I99" s="476">
        <f t="shared" si="34"/>
        <v>0.0</v>
      </c>
    </row>
    <row r="100" spans="8:8">
      <c r="A100" s="136">
        <f t="shared" si="27"/>
        <v>0.0</v>
      </c>
      <c r="B100" s="79"/>
      <c r="C100" s="476">
        <f t="shared" si="35" ref="C100:I100">$B100*C47</f>
        <v>0.0</v>
      </c>
      <c r="D100" s="476">
        <f t="shared" si="35"/>
        <v>0.0</v>
      </c>
      <c r="E100" s="476">
        <f t="shared" si="35"/>
        <v>0.0</v>
      </c>
      <c r="F100" s="476">
        <f t="shared" si="35"/>
        <v>0.0</v>
      </c>
      <c r="G100" s="476">
        <f t="shared" si="35"/>
        <v>0.0</v>
      </c>
      <c r="H100" s="476">
        <f t="shared" si="35"/>
        <v>0.0</v>
      </c>
      <c r="I100" s="476">
        <f t="shared" si="35"/>
        <v>0.0</v>
      </c>
    </row>
    <row r="101" spans="8:8">
      <c r="A101" s="136">
        <f t="shared" si="27"/>
        <v>0.0</v>
      </c>
      <c r="B101" s="79"/>
      <c r="C101" s="476">
        <f t="shared" si="36" ref="C101:I101">$B101*C48</f>
        <v>0.0</v>
      </c>
      <c r="D101" s="476">
        <f t="shared" si="36"/>
        <v>0.0</v>
      </c>
      <c r="E101" s="476">
        <f t="shared" si="36"/>
        <v>0.0</v>
      </c>
      <c r="F101" s="476">
        <f t="shared" si="36"/>
        <v>0.0</v>
      </c>
      <c r="G101" s="476">
        <f t="shared" si="36"/>
        <v>0.0</v>
      </c>
      <c r="H101" s="476">
        <f t="shared" si="36"/>
        <v>0.0</v>
      </c>
      <c r="I101" s="476">
        <f t="shared" si="36"/>
        <v>0.0</v>
      </c>
    </row>
    <row r="102" spans="8:8">
      <c r="A102" s="136">
        <f t="shared" si="27"/>
        <v>0.0</v>
      </c>
      <c r="B102" s="79"/>
      <c r="C102" s="476">
        <f t="shared" si="37" ref="C102:I102">$B102*C49</f>
        <v>0.0</v>
      </c>
      <c r="D102" s="476">
        <f t="shared" si="37"/>
        <v>0.0</v>
      </c>
      <c r="E102" s="476">
        <f t="shared" si="37"/>
        <v>0.0</v>
      </c>
      <c r="F102" s="476">
        <f t="shared" si="37"/>
        <v>0.0</v>
      </c>
      <c r="G102" s="476">
        <f t="shared" si="37"/>
        <v>0.0</v>
      </c>
      <c r="H102" s="476">
        <f t="shared" si="37"/>
        <v>0.0</v>
      </c>
      <c r="I102" s="476">
        <f t="shared" si="37"/>
        <v>0.0</v>
      </c>
    </row>
    <row r="103" spans="8:8">
      <c r="A103" s="136">
        <f t="shared" si="27"/>
        <v>0.0</v>
      </c>
      <c r="B103" s="79"/>
      <c r="C103" s="476">
        <f t="shared" si="38" ref="C103:I103">$B103*C50</f>
        <v>0.0</v>
      </c>
      <c r="D103" s="476">
        <f t="shared" si="38"/>
        <v>0.0</v>
      </c>
      <c r="E103" s="476">
        <f t="shared" si="38"/>
        <v>0.0</v>
      </c>
      <c r="F103" s="476">
        <f t="shared" si="38"/>
        <v>0.0</v>
      </c>
      <c r="G103" s="476">
        <f t="shared" si="38"/>
        <v>0.0</v>
      </c>
      <c r="H103" s="476">
        <f t="shared" si="38"/>
        <v>0.0</v>
      </c>
      <c r="I103" s="476">
        <f t="shared" si="38"/>
        <v>0.0</v>
      </c>
    </row>
    <row r="104" spans="8:8">
      <c r="A104" s="136">
        <f t="shared" si="27"/>
        <v>0.0</v>
      </c>
      <c r="B104" s="79"/>
      <c r="C104" s="476">
        <f t="shared" si="39" ref="C104:I104">$B104*C51</f>
        <v>0.0</v>
      </c>
      <c r="D104" s="476">
        <f t="shared" si="39"/>
        <v>0.0</v>
      </c>
      <c r="E104" s="476">
        <f t="shared" si="39"/>
        <v>0.0</v>
      </c>
      <c r="F104" s="476">
        <f t="shared" si="39"/>
        <v>0.0</v>
      </c>
      <c r="G104" s="476">
        <f t="shared" si="39"/>
        <v>0.0</v>
      </c>
      <c r="H104" s="476">
        <f t="shared" si="39"/>
        <v>0.0</v>
      </c>
      <c r="I104" s="476">
        <f t="shared" si="39"/>
        <v>0.0</v>
      </c>
    </row>
    <row r="105" spans="8:8">
      <c r="A105" s="136">
        <f t="shared" si="27"/>
        <v>0.0</v>
      </c>
      <c r="B105" s="79"/>
      <c r="C105" s="476">
        <f t="shared" si="40" ref="C105:I105">$B105*C52</f>
        <v>0.0</v>
      </c>
      <c r="D105" s="476">
        <f t="shared" si="40"/>
        <v>0.0</v>
      </c>
      <c r="E105" s="476">
        <f t="shared" si="40"/>
        <v>0.0</v>
      </c>
      <c r="F105" s="476">
        <f t="shared" si="40"/>
        <v>0.0</v>
      </c>
      <c r="G105" s="476">
        <f t="shared" si="40"/>
        <v>0.0</v>
      </c>
      <c r="H105" s="476">
        <f t="shared" si="40"/>
        <v>0.0</v>
      </c>
      <c r="I105" s="476">
        <f t="shared" si="40"/>
        <v>0.0</v>
      </c>
    </row>
    <row r="106" spans="8:8">
      <c r="A106" s="136">
        <f t="shared" si="27"/>
        <v>0.0</v>
      </c>
      <c r="B106" s="79"/>
      <c r="C106" s="476">
        <f t="shared" si="41" ref="C106:I106">$B106*C53</f>
        <v>0.0</v>
      </c>
      <c r="D106" s="476">
        <f t="shared" si="41"/>
        <v>0.0</v>
      </c>
      <c r="E106" s="476">
        <f t="shared" si="41"/>
        <v>0.0</v>
      </c>
      <c r="F106" s="476">
        <f t="shared" si="41"/>
        <v>0.0</v>
      </c>
      <c r="G106" s="476">
        <f t="shared" si="41"/>
        <v>0.0</v>
      </c>
      <c r="H106" s="476">
        <f t="shared" si="41"/>
        <v>0.0</v>
      </c>
      <c r="I106" s="476">
        <f t="shared" si="41"/>
        <v>0.0</v>
      </c>
    </row>
    <row r="107" spans="8:8">
      <c r="A107" s="136" t="str">
        <f t="shared" si="27"/>
        <v>Pomegranate</v>
      </c>
      <c r="B107" s="79"/>
      <c r="C107" s="476">
        <f t="shared" si="42" ref="C107:I107">$B107*C54</f>
        <v>0.0</v>
      </c>
      <c r="D107" s="476">
        <f t="shared" si="42"/>
        <v>0.0</v>
      </c>
      <c r="E107" s="476">
        <f t="shared" si="42"/>
        <v>0.0</v>
      </c>
      <c r="F107" s="476">
        <f t="shared" si="42"/>
        <v>0.0</v>
      </c>
      <c r="G107" s="476">
        <f t="shared" si="42"/>
        <v>0.0</v>
      </c>
      <c r="H107" s="476">
        <f t="shared" si="42"/>
        <v>0.0</v>
      </c>
      <c r="I107" s="476">
        <f t="shared" si="42"/>
        <v>0.0</v>
      </c>
    </row>
    <row r="108" spans="8:8">
      <c r="A108" s="136" t="str">
        <f t="shared" si="27"/>
        <v>Custard Apple</v>
      </c>
      <c r="B108" s="79"/>
      <c r="C108" s="476">
        <f t="shared" si="43" ref="C108:I108">$B108*C55</f>
        <v>0.0</v>
      </c>
      <c r="D108" s="476">
        <f t="shared" si="43"/>
        <v>0.0</v>
      </c>
      <c r="E108" s="476">
        <f t="shared" si="43"/>
        <v>0.0</v>
      </c>
      <c r="F108" s="476">
        <f t="shared" si="43"/>
        <v>0.0</v>
      </c>
      <c r="G108" s="476">
        <f t="shared" si="43"/>
        <v>0.0</v>
      </c>
      <c r="H108" s="476">
        <f t="shared" si="43"/>
        <v>0.0</v>
      </c>
      <c r="I108" s="476">
        <f t="shared" si="43"/>
        <v>0.0</v>
      </c>
    </row>
    <row r="109" spans="8:8">
      <c r="A109" s="136" t="str">
        <f t="shared" si="27"/>
        <v>Guava</v>
      </c>
      <c r="B109" s="79"/>
      <c r="C109" s="476">
        <f t="shared" si="44" ref="C109:I109">$B109*C56</f>
        <v>0.0</v>
      </c>
      <c r="D109" s="476">
        <f t="shared" si="44"/>
        <v>0.0</v>
      </c>
      <c r="E109" s="476">
        <f t="shared" si="44"/>
        <v>0.0</v>
      </c>
      <c r="F109" s="476">
        <f t="shared" si="44"/>
        <v>0.0</v>
      </c>
      <c r="G109" s="476">
        <f t="shared" si="44"/>
        <v>0.0</v>
      </c>
      <c r="H109" s="476">
        <f t="shared" si="44"/>
        <v>0.0</v>
      </c>
      <c r="I109" s="476">
        <f t="shared" si="44"/>
        <v>0.0</v>
      </c>
    </row>
    <row r="110" spans="8:8">
      <c r="A110" s="136" t="str">
        <f t="shared" si="27"/>
        <v>Citrus</v>
      </c>
      <c r="B110" s="79"/>
      <c r="C110" s="476">
        <f t="shared" si="45" ref="C110:I110">$B110*C57</f>
        <v>0.0</v>
      </c>
      <c r="D110" s="476">
        <f t="shared" si="45"/>
        <v>0.0</v>
      </c>
      <c r="E110" s="476">
        <f t="shared" si="45"/>
        <v>0.0</v>
      </c>
      <c r="F110" s="476">
        <f t="shared" si="45"/>
        <v>0.0</v>
      </c>
      <c r="G110" s="476">
        <f t="shared" si="45"/>
        <v>0.0</v>
      </c>
      <c r="H110" s="476">
        <f t="shared" si="45"/>
        <v>0.0</v>
      </c>
      <c r="I110" s="476">
        <f t="shared" si="45"/>
        <v>0.0</v>
      </c>
    </row>
    <row r="111" spans="8:8">
      <c r="A111" s="136"/>
      <c r="B111" s="79"/>
      <c r="C111" s="476"/>
      <c r="D111" s="476"/>
      <c r="E111" s="476"/>
      <c r="F111" s="476"/>
      <c r="G111" s="476"/>
      <c r="H111" s="476"/>
      <c r="I111" s="476"/>
    </row>
    <row r="112" spans="8:8">
      <c r="A112" s="136"/>
      <c r="B112" s="79"/>
      <c r="C112" s="476"/>
      <c r="D112" s="476"/>
      <c r="E112" s="476"/>
      <c r="F112" s="476"/>
      <c r="G112" s="476"/>
      <c r="H112" s="476"/>
      <c r="I112" s="476"/>
    </row>
    <row r="113" spans="8:8">
      <c r="A113" s="348" t="s">
        <v>185</v>
      </c>
      <c r="B113" s="136"/>
      <c r="C113" s="136"/>
      <c r="D113" s="136"/>
      <c r="E113" s="136"/>
      <c r="F113" s="136"/>
      <c r="G113" s="136"/>
      <c r="H113" s="136"/>
      <c r="I113" s="136"/>
    </row>
    <row r="114" spans="8:8">
      <c r="A114" s="136" t="s">
        <v>415</v>
      </c>
      <c r="B114" s="79">
        <v>100.0</v>
      </c>
      <c r="C114" s="476">
        <f>SUM(C62:C110)*$B$114</f>
        <v>0.0</v>
      </c>
      <c r="D114" s="476">
        <f t="shared" si="46" ref="D114:I114">SUM(D62:D110)*$B$114</f>
        <v>0.0</v>
      </c>
      <c r="E114" s="476">
        <f t="shared" si="46"/>
        <v>0.0</v>
      </c>
      <c r="F114" s="476">
        <f t="shared" si="46"/>
        <v>0.0</v>
      </c>
      <c r="G114" s="476">
        <f t="shared" si="46"/>
        <v>0.0</v>
      </c>
      <c r="H114" s="476">
        <f t="shared" si="46"/>
        <v>0.0</v>
      </c>
      <c r="I114" s="476">
        <f t="shared" si="46"/>
        <v>0.0</v>
      </c>
    </row>
    <row r="115" spans="8:8">
      <c r="A115" s="136" t="s">
        <v>179</v>
      </c>
      <c r="B115" s="79">
        <v>30.0</v>
      </c>
      <c r="C115" s="476">
        <f>SUM(C62:C110)*$B$115</f>
        <v>0.0</v>
      </c>
      <c r="D115" s="476">
        <f t="shared" si="47" ref="D115:I115">SUM(D62:D110)*$B$115</f>
        <v>0.0</v>
      </c>
      <c r="E115" s="476">
        <f t="shared" si="47"/>
        <v>0.0</v>
      </c>
      <c r="F115" s="476">
        <f t="shared" si="47"/>
        <v>0.0</v>
      </c>
      <c r="G115" s="476">
        <f t="shared" si="47"/>
        <v>0.0</v>
      </c>
      <c r="H115" s="476">
        <f t="shared" si="47"/>
        <v>0.0</v>
      </c>
      <c r="I115" s="476">
        <f t="shared" si="47"/>
        <v>0.0</v>
      </c>
    </row>
    <row r="116" spans="8:8">
      <c r="A116" s="136" t="s">
        <v>181</v>
      </c>
      <c r="B116" s="79">
        <v>30.0</v>
      </c>
      <c r="C116" s="476">
        <f>SUM(C62:C110)*$B$116</f>
        <v>0.0</v>
      </c>
      <c r="D116" s="476">
        <f t="shared" si="48" ref="D116:I116">SUM(D62:D110)*$B$116</f>
        <v>0.0</v>
      </c>
      <c r="E116" s="476">
        <f t="shared" si="48"/>
        <v>0.0</v>
      </c>
      <c r="F116" s="476">
        <f t="shared" si="48"/>
        <v>0.0</v>
      </c>
      <c r="G116" s="476">
        <f t="shared" si="48"/>
        <v>0.0</v>
      </c>
      <c r="H116" s="476">
        <f t="shared" si="48"/>
        <v>0.0</v>
      </c>
      <c r="I116" s="476">
        <f t="shared" si="48"/>
        <v>0.0</v>
      </c>
    </row>
    <row r="117" spans="8:8">
      <c r="A117" s="348" t="s">
        <v>180</v>
      </c>
      <c r="B117" s="79"/>
      <c r="C117" s="136"/>
      <c r="D117" s="136"/>
      <c r="E117" s="136"/>
      <c r="F117" s="136"/>
      <c r="G117" s="136"/>
      <c r="H117" s="136"/>
      <c r="I117" s="136"/>
    </row>
    <row r="118" spans="8:8">
      <c r="A118" s="136" t="s">
        <v>186</v>
      </c>
      <c r="B118" s="79">
        <v>0.2</v>
      </c>
      <c r="C118" s="476">
        <f>SUM(C62:C110)*$B$118</f>
        <v>0.0</v>
      </c>
      <c r="D118" s="476">
        <f t="shared" si="49" ref="D118:I118">SUM(D62:D110)*$B$118</f>
        <v>0.0</v>
      </c>
      <c r="E118" s="476">
        <f t="shared" si="49"/>
        <v>0.0</v>
      </c>
      <c r="F118" s="476">
        <f t="shared" si="49"/>
        <v>0.0</v>
      </c>
      <c r="G118" s="476">
        <f t="shared" si="49"/>
        <v>0.0</v>
      </c>
      <c r="H118" s="476">
        <f t="shared" si="49"/>
        <v>0.0</v>
      </c>
      <c r="I118" s="476">
        <f t="shared" si="49"/>
        <v>0.0</v>
      </c>
    </row>
    <row r="119" spans="8:8">
      <c r="A119" s="136" t="s">
        <v>187</v>
      </c>
      <c r="B119" s="79">
        <v>0.5</v>
      </c>
      <c r="C119" s="476">
        <f>SUM(C62:C110)*$B$119</f>
        <v>0.0</v>
      </c>
      <c r="D119" s="476">
        <f t="shared" si="50" ref="D119:I119">SUM(D62:D110)*$B$119</f>
        <v>0.0</v>
      </c>
      <c r="E119" s="476">
        <f t="shared" si="50"/>
        <v>0.0</v>
      </c>
      <c r="F119" s="476">
        <f t="shared" si="50"/>
        <v>0.0</v>
      </c>
      <c r="G119" s="476">
        <f t="shared" si="50"/>
        <v>0.0</v>
      </c>
      <c r="H119" s="476">
        <f t="shared" si="50"/>
        <v>0.0</v>
      </c>
      <c r="I119" s="476">
        <f t="shared" si="50"/>
        <v>0.0</v>
      </c>
    </row>
    <row r="122" spans="8:8" ht="18.75">
      <c r="A122" s="30" t="s">
        <v>613</v>
      </c>
      <c r="B122" s="30"/>
      <c r="C122" s="30"/>
      <c r="D122" s="30"/>
      <c r="E122" s="30"/>
      <c r="F122" s="30"/>
      <c r="G122" s="30"/>
      <c r="H122" s="30"/>
      <c r="I122" s="30"/>
      <c r="J122" s="30"/>
    </row>
    <row r="123" spans="8:8">
      <c r="A123" s="477"/>
      <c r="B123" s="452"/>
      <c r="C123" s="477"/>
      <c r="D123" s="477"/>
      <c r="E123" s="477"/>
      <c r="F123" s="477"/>
      <c r="G123" s="477"/>
      <c r="H123" s="477"/>
    </row>
    <row r="124" spans="8:8">
      <c r="A124" s="453"/>
      <c r="B124" s="453"/>
      <c r="C124" s="453"/>
      <c r="D124" s="454">
        <v>1.0</v>
      </c>
      <c r="E124" s="455">
        <f>(D124*5%)+D124</f>
        <v>1.05</v>
      </c>
      <c r="F124" s="455">
        <f t="shared" si="51" ref="F124:J124">(E124*5%)+E124</f>
        <v>1.1025</v>
      </c>
      <c r="G124" s="455">
        <f t="shared" si="51"/>
        <v>1.1576250000000001</v>
      </c>
      <c r="H124" s="455">
        <f t="shared" si="51"/>
        <v>1.21550625</v>
      </c>
      <c r="I124" s="455">
        <f t="shared" si="51"/>
        <v>1.2762815625</v>
      </c>
      <c r="J124" s="455">
        <f t="shared" si="51"/>
        <v>1.340095640625</v>
      </c>
      <c r="K124" s="115"/>
      <c r="U124" s="115"/>
      <c r="V124" s="115"/>
      <c r="W124" s="115"/>
    </row>
    <row r="125" spans="8:8">
      <c r="A125" s="115"/>
      <c r="B125" s="115"/>
      <c r="C125" s="115"/>
      <c r="D125" s="115"/>
      <c r="E125" s="115"/>
      <c r="F125" s="115"/>
      <c r="G125" s="115"/>
      <c r="H125" s="115"/>
      <c r="I125" s="115"/>
      <c r="J125" s="115"/>
      <c r="K125" s="115"/>
      <c r="U125" s="115"/>
      <c r="V125" s="115"/>
      <c r="W125" s="115"/>
    </row>
    <row r="126" spans="8:8">
      <c r="A126" s="118" t="s">
        <v>0</v>
      </c>
      <c r="B126" s="118" t="s">
        <v>133</v>
      </c>
      <c r="C126" s="118" t="s">
        <v>152</v>
      </c>
      <c r="D126" s="119" t="s">
        <v>2</v>
      </c>
      <c r="E126" s="119" t="s">
        <v>3</v>
      </c>
      <c r="F126" s="119" t="s">
        <v>4</v>
      </c>
      <c r="G126" s="119" t="s">
        <v>5</v>
      </c>
      <c r="H126" s="119" t="s">
        <v>6</v>
      </c>
      <c r="I126" s="119" t="s">
        <v>169</v>
      </c>
      <c r="J126" s="119" t="s">
        <v>168</v>
      </c>
      <c r="K126" s="115"/>
      <c r="U126" s="115"/>
      <c r="V126" s="115"/>
      <c r="W126" s="115"/>
    </row>
    <row r="127" spans="8:8">
      <c r="A127" s="123" t="s">
        <v>127</v>
      </c>
      <c r="B127" s="120"/>
      <c r="C127" s="120"/>
      <c r="D127" s="120"/>
      <c r="E127" s="120"/>
      <c r="F127" s="120"/>
      <c r="G127" s="120"/>
      <c r="H127" s="120"/>
      <c r="I127" s="120"/>
      <c r="J127" s="120"/>
      <c r="K127" s="115"/>
      <c r="U127" s="115"/>
      <c r="V127" s="115"/>
      <c r="W127" s="115"/>
    </row>
    <row r="128" spans="8:8">
      <c r="A128" s="120" t="s">
        <v>288</v>
      </c>
      <c r="B128" s="120"/>
      <c r="C128" s="120"/>
      <c r="D128" s="120"/>
      <c r="E128" s="120"/>
      <c r="F128" s="120"/>
      <c r="G128" s="120"/>
      <c r="H128" s="120"/>
      <c r="I128" s="120"/>
      <c r="J128" s="120"/>
      <c r="K128" s="115"/>
      <c r="U128" s="115"/>
      <c r="V128" s="115"/>
      <c r="W128" s="115"/>
    </row>
    <row r="129" spans="8:8">
      <c r="A129" s="123" t="str">
        <f t="shared" si="52" ref="A129:A160">A8</f>
        <v>Kharif Crops</v>
      </c>
      <c r="B129" s="120"/>
      <c r="C129" s="120"/>
      <c r="D129" s="120"/>
      <c r="E129" s="120"/>
      <c r="F129" s="120"/>
      <c r="G129" s="120"/>
      <c r="H129" s="120"/>
      <c r="I129" s="120"/>
      <c r="J129" s="120"/>
      <c r="K129" s="115"/>
      <c r="U129" s="115"/>
      <c r="V129" s="115"/>
      <c r="W129" s="115"/>
    </row>
    <row r="130" spans="8:8">
      <c r="A130" s="120" t="str">
        <f t="shared" si="52"/>
        <v>Soybean</v>
      </c>
      <c r="B130" s="120"/>
      <c r="C130" s="79">
        <v>90.0</v>
      </c>
      <c r="D130" s="122">
        <f>(C62*(1-'5.Closing Stock &amp; W Capital'!$D$15))*$C$130*D$124</f>
        <v>0.0</v>
      </c>
      <c r="E130" s="122">
        <f>(D62*(1-'5.Closing Stock &amp; W Capital'!$D$15))*$C$130*E$124</f>
        <v>0.0</v>
      </c>
      <c r="F130" s="122">
        <f>(E62*(1-'5.Closing Stock &amp; W Capital'!$D$15))*$C$130*F$124</f>
        <v>0.0</v>
      </c>
      <c r="G130" s="122">
        <f>(F62*(1-'5.Closing Stock &amp; W Capital'!$D$15))*$C$130*G$124</f>
        <v>0.0</v>
      </c>
      <c r="H130" s="122">
        <f>(G62*(1-'5.Closing Stock &amp; W Capital'!$D$15))*$C$130*H$124</f>
        <v>0.0</v>
      </c>
      <c r="I130" s="122">
        <f>(H62*(1-'5.Closing Stock &amp; W Capital'!$D$15))*$C$130*I$124</f>
        <v>0.0</v>
      </c>
      <c r="J130" s="122">
        <f>(I62*(1-'5.Closing Stock &amp; W Capital'!$D$15))*$C$130*J$124</f>
        <v>0.0</v>
      </c>
      <c r="K130" s="115"/>
      <c r="U130" s="115"/>
      <c r="V130" s="115"/>
      <c r="W130" s="115"/>
    </row>
    <row r="131" spans="8:8">
      <c r="A131" s="120" t="str">
        <f t="shared" si="52"/>
        <v>Red Gram/Tur</v>
      </c>
      <c r="B131" s="120"/>
      <c r="C131" s="121">
        <v>80.0</v>
      </c>
      <c r="D131" s="122">
        <f>(C63*(1-'5.Closing Stock &amp; W Capital'!$D$15))*$C$131*D$124</f>
        <v>0.0</v>
      </c>
      <c r="E131" s="122">
        <f>((D63*(1-'5.Closing Stock &amp; W Capital'!$D$15))+(C63*'5.Closing Stock &amp; W Capital'!$D$15))*$C$131*E$124</f>
        <v>0.0</v>
      </c>
      <c r="F131" s="122">
        <f>((E63*(1-'5.Closing Stock &amp; W Capital'!$D$15))+(D63*'5.Closing Stock &amp; W Capital'!$D$15))*$C$131*F$124</f>
        <v>0.0</v>
      </c>
      <c r="G131" s="122">
        <f>((F63*(1-'5.Closing Stock &amp; W Capital'!$D$15))+(E63*'5.Closing Stock &amp; W Capital'!$D$15))*$C$131*G124</f>
        <v>0.0</v>
      </c>
      <c r="H131" s="122">
        <f>((G63*(1-'5.Closing Stock &amp; W Capital'!$D$15))+(F63*'5.Closing Stock &amp; W Capital'!$D$15))*$C$131*H124</f>
        <v>0.0</v>
      </c>
      <c r="I131" s="122">
        <f>((H63*(1-'5.Closing Stock &amp; W Capital'!$D$15))+(G63*'5.Closing Stock &amp; W Capital'!$D$15))*$C$131*I124</f>
        <v>0.0</v>
      </c>
      <c r="J131" s="122">
        <f>((I63*(1-'5.Closing Stock &amp; W Capital'!$D$15))+(H63*'5.Closing Stock &amp; W Capital'!$D$15))*$C$131*J124</f>
        <v>0.0</v>
      </c>
      <c r="K131" s="115"/>
      <c r="U131" s="116"/>
      <c r="V131" s="115"/>
      <c r="W131" s="115"/>
    </row>
    <row r="132" spans="8:8">
      <c r="A132" s="120" t="str">
        <f t="shared" si="52"/>
        <v>Paddy/Rice</v>
      </c>
      <c r="B132" s="120"/>
      <c r="C132" s="121">
        <v>65.0</v>
      </c>
      <c r="D132" s="122">
        <f>(C64*(1-'5.Closing Stock &amp; W Capital'!$D$15))*$C$132*D$124</f>
        <v>0.0</v>
      </c>
      <c r="E132" s="122">
        <f>((D64*(1-'5.Closing Stock &amp; W Capital'!$D$15))+(C64*'5.Closing Stock &amp; W Capital'!$D$15))*$C$132*E$124</f>
        <v>0.0</v>
      </c>
      <c r="F132" s="122">
        <f>((E64*(1-'5.Closing Stock &amp; W Capital'!$D$15))+(D64*'5.Closing Stock &amp; W Capital'!$D$15))*$C$132*F$124</f>
        <v>0.0</v>
      </c>
      <c r="G132" s="122">
        <f>((F64*(1-'5.Closing Stock &amp; W Capital'!$D$15))+(E64*'5.Closing Stock &amp; W Capital'!$D$15))*$C$132*G124</f>
        <v>0.0</v>
      </c>
      <c r="H132" s="122">
        <f>((G64*(1-'5.Closing Stock &amp; W Capital'!$D$15))+(F64*'5.Closing Stock &amp; W Capital'!$D$15))*$C$132*H124</f>
        <v>0.0</v>
      </c>
      <c r="I132" s="122">
        <f>((H64*(1-'5.Closing Stock &amp; W Capital'!$D$15))+(G64*'5.Closing Stock &amp; W Capital'!$D$15))*$C$132*I124</f>
        <v>0.0</v>
      </c>
      <c r="J132" s="122">
        <f>((I64*(1-'5.Closing Stock &amp; W Capital'!$D$15))+(H64*'5.Closing Stock &amp; W Capital'!$D$15))*$C$132*J124</f>
        <v>0.0</v>
      </c>
      <c r="K132" s="115"/>
      <c r="U132" s="115"/>
      <c r="V132" s="115"/>
      <c r="W132" s="115"/>
    </row>
    <row r="133" spans="8:8">
      <c r="A133" s="120" t="str">
        <f t="shared" si="52"/>
        <v>Green Gram/ Moong</v>
      </c>
      <c r="B133" s="120"/>
      <c r="C133" s="121">
        <v>85.0</v>
      </c>
      <c r="D133" s="122">
        <f>(C65*(1-'5.Closing Stock &amp; W Capital'!$D$15))*$C$133*D$124</f>
        <v>0.0</v>
      </c>
      <c r="E133" s="122">
        <f>((D65*(1-'5.Closing Stock &amp; W Capital'!$D$15))+(C65*'5.Closing Stock &amp; W Capital'!$D$15))*$C$133*E$124</f>
        <v>0.0</v>
      </c>
      <c r="F133" s="122">
        <f>((E65*(1-'5.Closing Stock &amp; W Capital'!$D$15))+(D65*'5.Closing Stock &amp; W Capital'!$D$15))*$C$133*F$124</f>
        <v>0.0</v>
      </c>
      <c r="G133" s="122">
        <f>((F65*(1-'5.Closing Stock &amp; W Capital'!$D$15))+(E65*'5.Closing Stock &amp; W Capital'!$D$15))*$C$133*G$124</f>
        <v>0.0</v>
      </c>
      <c r="H133" s="122">
        <f>((G65*(1-'5.Closing Stock &amp; W Capital'!$D$15))+(F65*'5.Closing Stock &amp; W Capital'!$D$15))*$C$133*H$124</f>
        <v>0.0</v>
      </c>
      <c r="I133" s="122">
        <f>((H65*(1-'5.Closing Stock &amp; W Capital'!$D$15))+(G65*'5.Closing Stock &amp; W Capital'!$D$15))*$C$133*I$124</f>
        <v>0.0</v>
      </c>
      <c r="J133" s="122">
        <f>((I65*(1-'5.Closing Stock &amp; W Capital'!$D$15))+(H65*'5.Closing Stock &amp; W Capital'!$D$15))*$C$133*J$124</f>
        <v>0.0</v>
      </c>
      <c r="K133" s="115"/>
      <c r="U133" s="115"/>
      <c r="V133" s="115"/>
      <c r="W133" s="115"/>
    </row>
    <row r="134" spans="8:8">
      <c r="A134" s="120" t="str">
        <f t="shared" si="52"/>
        <v>Maize</v>
      </c>
      <c r="B134" s="120"/>
      <c r="C134" s="121">
        <v>37.0</v>
      </c>
      <c r="D134" s="122">
        <f>(C66*(1-'5.Closing Stock &amp; W Capital'!$D$15))*$C$134*D$124</f>
        <v>0.0</v>
      </c>
      <c r="E134" s="122">
        <f>((D66*(1-'5.Closing Stock &amp; W Capital'!$D$15))+(C66*'5.Closing Stock &amp; W Capital'!$D$15))*$C$135*E$124</f>
        <v>0.0</v>
      </c>
      <c r="F134" s="122">
        <f>((E66*(1-'5.Closing Stock &amp; W Capital'!$D$15))+(D66*'5.Closing Stock &amp; W Capital'!$D$15))*$C$135*F$124</f>
        <v>0.0</v>
      </c>
      <c r="G134" s="122">
        <f>((F66*(1-'5.Closing Stock &amp; W Capital'!$D$15))+(E66*'5.Closing Stock &amp; W Capital'!$D$15))*$C$135*G$124</f>
        <v>0.0</v>
      </c>
      <c r="H134" s="122">
        <f>((G66*(1-'5.Closing Stock &amp; W Capital'!$D$15))+(F66*'5.Closing Stock &amp; W Capital'!$D$15))*$C$135*H$124</f>
        <v>0.0</v>
      </c>
      <c r="I134" s="122">
        <f>((H66*(1-'5.Closing Stock &amp; W Capital'!$D$15))+(G66*'5.Closing Stock &amp; W Capital'!$D$15))*$C$135*I$124</f>
        <v>0.0</v>
      </c>
      <c r="J134" s="122">
        <f>((I66*(1-'5.Closing Stock &amp; W Capital'!$D$15))+(H66*'5.Closing Stock &amp; W Capital'!$D$15))*$C$135*J$124</f>
        <v>0.0</v>
      </c>
      <c r="K134" s="115"/>
      <c r="U134" s="115"/>
      <c r="V134" s="115"/>
      <c r="W134" s="115"/>
    </row>
    <row r="135" spans="8:8">
      <c r="A135" s="120" t="str">
        <f t="shared" si="52"/>
        <v>Black Gram/Udid</v>
      </c>
      <c r="B135" s="120"/>
      <c r="C135" s="121">
        <v>75.0</v>
      </c>
      <c r="D135" s="122">
        <f>(C67*(1-'5.Closing Stock &amp; W Capital'!$D$15))*$C$135*D$124</f>
        <v>0.0</v>
      </c>
      <c r="E135" s="122">
        <f>((D67*(1-'5.Closing Stock &amp; W Capital'!$D$15))+(C67*'5.Closing Stock &amp; W Capital'!$D$15))*$C$135*E$124</f>
        <v>0.0</v>
      </c>
      <c r="F135" s="122">
        <f>((E67*(1-'5.Closing Stock &amp; W Capital'!$D$15))+(D67*'5.Closing Stock &amp; W Capital'!$D$15))*$C$135*F$124</f>
        <v>0.0</v>
      </c>
      <c r="G135" s="122">
        <f>((F67*(1-'5.Closing Stock &amp; W Capital'!$D$15))+(E67*'5.Closing Stock &amp; W Capital'!$D$15))*$C$135*G$124</f>
        <v>0.0</v>
      </c>
      <c r="H135" s="122">
        <f>((G67*(1-'5.Closing Stock &amp; W Capital'!$D$15))+(F67*'5.Closing Stock &amp; W Capital'!$D$15))*$C$135*H$124</f>
        <v>0.0</v>
      </c>
      <c r="I135" s="122">
        <f>((H67*(1-'5.Closing Stock &amp; W Capital'!$D$15))+(G67*'5.Closing Stock &amp; W Capital'!$D$15))*$C$135*I$124</f>
        <v>0.0</v>
      </c>
      <c r="J135" s="122">
        <f>((I67*(1-'5.Closing Stock &amp; W Capital'!$D$15))+(H67*'5.Closing Stock &amp; W Capital'!$D$15))*$C$135*J$124</f>
        <v>0.0</v>
      </c>
      <c r="K135" s="115"/>
      <c r="U135" s="115"/>
      <c r="V135" s="115"/>
      <c r="W135" s="115"/>
    </row>
    <row r="136" spans="8:8">
      <c r="A136" s="120" t="str">
        <f t="shared" si="52"/>
        <v>Bajra</v>
      </c>
      <c r="B136" s="120"/>
      <c r="C136" s="121">
        <v>30.0</v>
      </c>
      <c r="D136" s="122">
        <f>(C68*(1-'5.Closing Stock &amp; W Capital'!$D$15))*$C$136*D$124</f>
        <v>0.0</v>
      </c>
      <c r="E136" s="122">
        <f>((D68*(1-'5.Closing Stock &amp; W Capital'!$D$15))+(C68*'5.Closing Stock &amp; W Capital'!$D$15))*$C$136*E$124</f>
        <v>0.0</v>
      </c>
      <c r="F136" s="122">
        <f>((E68*(1-'5.Closing Stock &amp; W Capital'!$D$15))+(D68*'5.Closing Stock &amp; W Capital'!$D$15))*$C$136*F$124</f>
        <v>0.0</v>
      </c>
      <c r="G136" s="122">
        <f>((F68*(1-'5.Closing Stock &amp; W Capital'!$D$15))+(E68*'5.Closing Stock &amp; W Capital'!$D$15))*$C$136*G$124</f>
        <v>0.0</v>
      </c>
      <c r="H136" s="122">
        <f>((G68*(1-'5.Closing Stock &amp; W Capital'!$D$15))+(F68*'5.Closing Stock &amp; W Capital'!$D$15))*$C$136*H$124</f>
        <v>0.0</v>
      </c>
      <c r="I136" s="122">
        <f>((H68*(1-'5.Closing Stock &amp; W Capital'!$D$15))+(G68*'5.Closing Stock &amp; W Capital'!$D$15))*$C$136*I$124</f>
        <v>0.0</v>
      </c>
      <c r="J136" s="122">
        <f>((I68*(1-'5.Closing Stock &amp; W Capital'!$D$15))+(H68*'5.Closing Stock &amp; W Capital'!$D$15))*$C$136*J$124</f>
        <v>0.0</v>
      </c>
      <c r="K136" s="115"/>
      <c r="U136" s="115"/>
      <c r="V136" s="115"/>
      <c r="W136" s="115"/>
    </row>
    <row r="137" spans="8:8">
      <c r="A137" s="120" t="str">
        <f t="shared" si="52"/>
        <v>Jawar</v>
      </c>
      <c r="B137" s="120"/>
      <c r="C137" s="121">
        <v>30.0</v>
      </c>
      <c r="D137" s="122">
        <f>(C69*(1-'5.Closing Stock &amp; W Capital'!$D$15))*$C$137*D$124</f>
        <v>0.0</v>
      </c>
      <c r="E137" s="122">
        <f>((D69*(1-'5.Closing Stock &amp; W Capital'!$D$15))+(C69*'5.Closing Stock &amp; W Capital'!$D$15))*$C$137*E$124</f>
        <v>0.0</v>
      </c>
      <c r="F137" s="122">
        <f>((E69*(1-'5.Closing Stock &amp; W Capital'!$D$15))+(D69*'5.Closing Stock &amp; W Capital'!$D$15))*$C$137*F$124</f>
        <v>0.0</v>
      </c>
      <c r="G137" s="122">
        <f>((F69*(1-'5.Closing Stock &amp; W Capital'!$D$15))+(E69*'5.Closing Stock &amp; W Capital'!$D$15))*$C$137*G$124</f>
        <v>0.0</v>
      </c>
      <c r="H137" s="122">
        <f>((G69*(1-'5.Closing Stock &amp; W Capital'!$D$15))+(F69*'5.Closing Stock &amp; W Capital'!$D$15))*$C$137*H$124</f>
        <v>0.0</v>
      </c>
      <c r="I137" s="122">
        <f>((H69*(1-'5.Closing Stock &amp; W Capital'!$D$15))+(G69*'5.Closing Stock &amp; W Capital'!$D$15))*$C$137*I$124</f>
        <v>0.0</v>
      </c>
      <c r="J137" s="122">
        <f>((I69*(1-'5.Closing Stock &amp; W Capital'!$D$15))+(H69*'5.Closing Stock &amp; W Capital'!$D$15))*$C$137*J$124</f>
        <v>0.0</v>
      </c>
      <c r="K137" s="115"/>
      <c r="U137" s="115"/>
      <c r="V137" s="115"/>
      <c r="W137" s="115"/>
    </row>
    <row r="138" spans="8:8">
      <c r="A138" s="123" t="str">
        <f t="shared" si="52"/>
        <v>Rabi Crop</v>
      </c>
      <c r="B138" s="120"/>
      <c r="C138" s="121"/>
      <c r="D138" s="122"/>
      <c r="E138" s="122"/>
      <c r="F138" s="122"/>
      <c r="G138" s="122"/>
      <c r="H138" s="122"/>
      <c r="I138" s="122"/>
      <c r="J138" s="122"/>
      <c r="K138" s="115"/>
      <c r="U138" s="115"/>
      <c r="V138" s="115"/>
      <c r="W138" s="115"/>
    </row>
    <row r="139" spans="8:8">
      <c r="A139" s="120" t="str">
        <f t="shared" si="52"/>
        <v>Wheat</v>
      </c>
      <c r="B139" s="120"/>
      <c r="C139" s="121">
        <v>40.0</v>
      </c>
      <c r="D139" s="122">
        <f>(C71*(1-'5.Closing Stock &amp; W Capital'!$D$15))*$C$139*D$124</f>
        <v>0.0</v>
      </c>
      <c r="E139" s="122">
        <f>((D71*(1-'5.Closing Stock &amp; W Capital'!$D$15))+(C71*'5.Closing Stock &amp; W Capital'!$D$15))*$C$139*E$124</f>
        <v>0.0</v>
      </c>
      <c r="F139" s="122">
        <f>((E71*(1-'5.Closing Stock &amp; W Capital'!$D$15))+(D71*'5.Closing Stock &amp; W Capital'!$D$15))*$C$139*F$124</f>
        <v>0.0</v>
      </c>
      <c r="G139" s="122">
        <f>((F71*(1-'5.Closing Stock &amp; W Capital'!$D$15))+(E71*'5.Closing Stock &amp; W Capital'!$D$15))*$C$139*G$124</f>
        <v>0.0</v>
      </c>
      <c r="H139" s="122">
        <f>((G71*(1-'5.Closing Stock &amp; W Capital'!$D$15))+(F71*'5.Closing Stock &amp; W Capital'!$D$15))*$C$139*H$124</f>
        <v>0.0</v>
      </c>
      <c r="I139" s="122">
        <f>((H71*(1-'5.Closing Stock &amp; W Capital'!$D$15))+(G71*'5.Closing Stock &amp; W Capital'!$D$15))*$C$139*I$124</f>
        <v>0.0</v>
      </c>
      <c r="J139" s="122">
        <f>((I71*(1-'5.Closing Stock &amp; W Capital'!$D$15))+(H71*'5.Closing Stock &amp; W Capital'!$D$15))*$C$139*J$124</f>
        <v>0.0</v>
      </c>
      <c r="K139" s="115"/>
      <c r="U139" s="115"/>
      <c r="V139" s="115"/>
      <c r="W139" s="115"/>
    </row>
    <row r="140" spans="8:8">
      <c r="A140" s="120" t="str">
        <f t="shared" si="52"/>
        <v>Bengal Gram/Channa</v>
      </c>
      <c r="B140" s="120"/>
      <c r="C140" s="121">
        <v>75.0</v>
      </c>
      <c r="D140" s="122">
        <f>(C72*(1-'5.Closing Stock &amp; W Capital'!$D$15))*$C$140*D$124</f>
        <v>0.0</v>
      </c>
      <c r="E140" s="122">
        <f>((D72*(1-'5.Closing Stock &amp; W Capital'!$D$15))+(C72*'5.Closing Stock &amp; W Capital'!$D$15))*$C$140*E$124</f>
        <v>0.0</v>
      </c>
      <c r="F140" s="122">
        <f>((E72*(1-'5.Closing Stock &amp; W Capital'!$D$15))+(D72*'5.Closing Stock &amp; W Capital'!$D$15))*$C$140*F$124</f>
        <v>0.0</v>
      </c>
      <c r="G140" s="122">
        <f>((F72*(1-'5.Closing Stock &amp; W Capital'!$D$15))+(E72*'5.Closing Stock &amp; W Capital'!$D$15))*$C$140*G$124</f>
        <v>0.0</v>
      </c>
      <c r="H140" s="122">
        <f>((G72*(1-'5.Closing Stock &amp; W Capital'!$D$15))+(F72*'5.Closing Stock &amp; W Capital'!$D$15))*$C$140*H$124</f>
        <v>0.0</v>
      </c>
      <c r="I140" s="122">
        <f>((H72*(1-'5.Closing Stock &amp; W Capital'!$D$15))+(G72*'5.Closing Stock &amp; W Capital'!$D$15))*$C$140*I$124</f>
        <v>0.0</v>
      </c>
      <c r="J140" s="122">
        <f>((I72*(1-'5.Closing Stock &amp; W Capital'!$D$15))+(H72*'5.Closing Stock &amp; W Capital'!$D$15))*$C$140*J$124</f>
        <v>0.0</v>
      </c>
      <c r="K140" s="115"/>
      <c r="U140" s="115"/>
      <c r="V140" s="115"/>
      <c r="W140" s="115"/>
    </row>
    <row r="141" spans="8:8">
      <c r="A141" s="120" t="str">
        <f t="shared" si="52"/>
        <v>Jawar</v>
      </c>
      <c r="B141" s="120"/>
      <c r="C141" s="121">
        <v>27.0</v>
      </c>
      <c r="D141" s="122">
        <f>(C73*(1-'5.Closing Stock &amp; W Capital'!$D$15))*$C$141*D$124</f>
        <v>0.0</v>
      </c>
      <c r="E141" s="122">
        <f>((D73*(1-'5.Closing Stock &amp; W Capital'!$D$15))+(C73*'5.Closing Stock &amp; W Capital'!$D$15))*$C$141*E$124</f>
        <v>0.0</v>
      </c>
      <c r="F141" s="122">
        <f>((E73*(1-'5.Closing Stock &amp; W Capital'!$D$15))+(D73*'5.Closing Stock &amp; W Capital'!$D$15))*$C$141*F$124</f>
        <v>0.0</v>
      </c>
      <c r="G141" s="122">
        <f>((F73*(1-'5.Closing Stock &amp; W Capital'!$D$15))+(E73*'5.Closing Stock &amp; W Capital'!$D$15))*$C$141*G$124</f>
        <v>0.0</v>
      </c>
      <c r="H141" s="122">
        <f>((G73*(1-'5.Closing Stock &amp; W Capital'!$D$15))+(F73*'5.Closing Stock &amp; W Capital'!$D$15))*$C$141*H$124</f>
        <v>0.0</v>
      </c>
      <c r="I141" s="122">
        <f>((H73*(1-'5.Closing Stock &amp; W Capital'!$D$15))+(G73*'5.Closing Stock &amp; W Capital'!$D$15))*$C$141*I$124</f>
        <v>0.0</v>
      </c>
      <c r="J141" s="122">
        <f>((I73*(1-'5.Closing Stock &amp; W Capital'!$D$15))+(H73*'5.Closing Stock &amp; W Capital'!$D$15))*$C$141*J$124</f>
        <v>0.0</v>
      </c>
      <c r="K141" s="115"/>
      <c r="U141" s="115"/>
      <c r="V141" s="115"/>
      <c r="W141" s="115"/>
    </row>
    <row r="142" spans="8:8">
      <c r="A142" s="120" t="str">
        <f t="shared" si="52"/>
        <v>Maize</v>
      </c>
      <c r="B142" s="120"/>
      <c r="C142" s="121">
        <v>27.0</v>
      </c>
      <c r="D142" s="122">
        <f>(C74*(1-'5.Closing Stock &amp; W Capital'!$D$15))*$C$142*D$124</f>
        <v>0.0</v>
      </c>
      <c r="E142" s="122">
        <f>((D74*(1-'5.Closing Stock &amp; W Capital'!$D$15))+(C74*'5.Closing Stock &amp; W Capital'!$D$15))*$C$142*E$124</f>
        <v>0.0</v>
      </c>
      <c r="F142" s="122">
        <f>((E74*(1-'5.Closing Stock &amp; W Capital'!$D$15))+(D74*'5.Closing Stock &amp; W Capital'!$D$15))*$C$142*F$124</f>
        <v>0.0</v>
      </c>
      <c r="G142" s="122">
        <f>((F74*(1-'5.Closing Stock &amp; W Capital'!$D$15))+(E74*'5.Closing Stock &amp; W Capital'!$D$15))*$C$142*G$124</f>
        <v>0.0</v>
      </c>
      <c r="H142" s="122">
        <f>((G74*(1-'5.Closing Stock &amp; W Capital'!$D$15))+(F74*'5.Closing Stock &amp; W Capital'!$D$15))*$C$142*H$124</f>
        <v>0.0</v>
      </c>
      <c r="I142" s="122">
        <f>((H74*(1-'5.Closing Stock &amp; W Capital'!$D$15))+(G74*'5.Closing Stock &amp; W Capital'!$D$15))*$C$142*I$124</f>
        <v>0.0</v>
      </c>
      <c r="J142" s="122">
        <f>((I74*(1-'5.Closing Stock &amp; W Capital'!$D$15))+(H74*'5.Closing Stock &amp; W Capital'!$D$15))*$C$142*J$124</f>
        <v>0.0</v>
      </c>
      <c r="K142" s="115"/>
      <c r="U142" s="115"/>
      <c r="V142" s="115"/>
      <c r="W142" s="115"/>
    </row>
    <row r="143" spans="8:8">
      <c r="A143" s="120" t="str">
        <f t="shared" si="52"/>
        <v>Safflower</v>
      </c>
      <c r="B143" s="120"/>
      <c r="C143" s="121"/>
      <c r="D143" s="122">
        <f>(C75*(1-'5.Closing Stock &amp; W Capital'!$D$15))*$C$143*D$124</f>
        <v>0.0</v>
      </c>
      <c r="E143" s="122">
        <f>((D75*(1-'5.Closing Stock &amp; W Capital'!$D$15))+(C75*'5.Closing Stock &amp; W Capital'!$D$15))*$C$143*E$124</f>
        <v>0.0</v>
      </c>
      <c r="F143" s="122">
        <f>((E75*(1-'5.Closing Stock &amp; W Capital'!$D$15))+(D75*'5.Closing Stock &amp; W Capital'!$D$15))*$C$143*F$124</f>
        <v>0.0</v>
      </c>
      <c r="G143" s="122">
        <f>((F75*(1-'5.Closing Stock &amp; W Capital'!$D$15))+(E75*'5.Closing Stock &amp; W Capital'!$D$15))*$C$143*G$124</f>
        <v>0.0</v>
      </c>
      <c r="H143" s="122">
        <f>((G75*(1-'5.Closing Stock &amp; W Capital'!$D$15))+(F75*'5.Closing Stock &amp; W Capital'!$D$15))*$C$143*H$124</f>
        <v>0.0</v>
      </c>
      <c r="I143" s="122">
        <f>((H75*(1-'5.Closing Stock &amp; W Capital'!$D$15))+(G75*'5.Closing Stock &amp; W Capital'!$D$15))*$C$143*I$124</f>
        <v>0.0</v>
      </c>
      <c r="J143" s="122">
        <f>((I75*(1-'5.Closing Stock &amp; W Capital'!$D$15))+(H75*'5.Closing Stock &amp; W Capital'!$D$15))*$C$143*J$124</f>
        <v>0.0</v>
      </c>
      <c r="K143" s="115"/>
      <c r="U143" s="115"/>
      <c r="V143" s="115"/>
      <c r="W143" s="115"/>
    </row>
    <row r="144" spans="8:8">
      <c r="A144" s="120">
        <f t="shared" si="52"/>
        <v>0.0</v>
      </c>
      <c r="B144" s="120"/>
      <c r="C144" s="121"/>
      <c r="D144" s="122">
        <f>(C76*(1-'5.Closing Stock &amp; W Capital'!$D$15))*$C$144*D$124</f>
        <v>0.0</v>
      </c>
      <c r="E144" s="122">
        <f>((D76*(1-'5.Closing Stock &amp; W Capital'!$D$15))+(C76*'5.Closing Stock &amp; W Capital'!$D$15))*$C$144*E$124</f>
        <v>0.0</v>
      </c>
      <c r="F144" s="122">
        <f>((E76*(1-'5.Closing Stock &amp; W Capital'!$D$15))+(D76*'5.Closing Stock &amp; W Capital'!$D$15))*$C$144*F$124</f>
        <v>0.0</v>
      </c>
      <c r="G144" s="122">
        <f>((F76*(1-'5.Closing Stock &amp; W Capital'!$D$15))+(E76*'5.Closing Stock &amp; W Capital'!$D$15))*$C$144*G$124</f>
        <v>0.0</v>
      </c>
      <c r="H144" s="122">
        <f>((G76*(1-'5.Closing Stock &amp; W Capital'!$D$15))+(F76*'5.Closing Stock &amp; W Capital'!$D$15))*$C$144*H$124</f>
        <v>0.0</v>
      </c>
      <c r="I144" s="122">
        <f>((H76*(1-'5.Closing Stock &amp; W Capital'!$D$15))+(G76*'5.Closing Stock &amp; W Capital'!$D$15))*$C$144*I$124</f>
        <v>0.0</v>
      </c>
      <c r="J144" s="122">
        <f>((I76*(1-'5.Closing Stock &amp; W Capital'!$D$15))+(H76*'5.Closing Stock &amp; W Capital'!$D$15))*$C$144*J$124</f>
        <v>0.0</v>
      </c>
      <c r="K144" s="115"/>
      <c r="U144" s="115"/>
      <c r="V144" s="115"/>
      <c r="W144" s="115"/>
    </row>
    <row r="145" spans="8:8">
      <c r="A145" s="120">
        <f t="shared" si="52"/>
        <v>0.0</v>
      </c>
      <c r="B145" s="120"/>
      <c r="C145" s="121"/>
      <c r="D145" s="122">
        <f>(C77*(1-'5.Closing Stock &amp; W Capital'!$D$15))*$C$145*D$124</f>
        <v>0.0</v>
      </c>
      <c r="E145" s="122">
        <f>((D77*(1-'5.Closing Stock &amp; W Capital'!$D$15))+(C77*'5.Closing Stock &amp; W Capital'!$D$15))*$C$145*E$124</f>
        <v>0.0</v>
      </c>
      <c r="F145" s="122">
        <f>((E77*(1-'5.Closing Stock &amp; W Capital'!$D$15))+(D77*'5.Closing Stock &amp; W Capital'!$D$15))*$C$145*F$124</f>
        <v>0.0</v>
      </c>
      <c r="G145" s="122">
        <f>((F77*(1-'5.Closing Stock &amp; W Capital'!$D$15))+(E77*'5.Closing Stock &amp; W Capital'!$D$15))*$C$145*G$124</f>
        <v>0.0</v>
      </c>
      <c r="H145" s="122">
        <f>((G77*(1-'5.Closing Stock &amp; W Capital'!$D$15))+(F77*'5.Closing Stock &amp; W Capital'!$D$15))*$C$145*H$124</f>
        <v>0.0</v>
      </c>
      <c r="I145" s="122">
        <f>((H77*(1-'5.Closing Stock &amp; W Capital'!$D$15))+(G77*'5.Closing Stock &amp; W Capital'!$D$15))*$C$145*I$124</f>
        <v>0.0</v>
      </c>
      <c r="J145" s="122">
        <f>((I77*(1-'5.Closing Stock &amp; W Capital'!$D$15))+(H77*'5.Closing Stock &amp; W Capital'!$D$15))*$C$145*J$124</f>
        <v>0.0</v>
      </c>
      <c r="K145" s="115"/>
      <c r="U145" s="115"/>
      <c r="V145" s="115"/>
      <c r="W145" s="115"/>
    </row>
    <row r="146" spans="8:8">
      <c r="A146" s="120">
        <f t="shared" si="52"/>
        <v>0.0</v>
      </c>
      <c r="B146" s="120"/>
      <c r="C146" s="121"/>
      <c r="D146" s="122">
        <f>(C78*(1-'5.Closing Stock &amp; W Capital'!$D$15))*$C$146*D$124</f>
        <v>0.0</v>
      </c>
      <c r="E146" s="122">
        <f>((D78*(1-'5.Closing Stock &amp; W Capital'!$D$15))+(C78*'5.Closing Stock &amp; W Capital'!$D$15))*$C$146*E$124</f>
        <v>0.0</v>
      </c>
      <c r="F146" s="122">
        <f>((E78*(1-'5.Closing Stock &amp; W Capital'!$D$15))+(D78*'5.Closing Stock &amp; W Capital'!$D$15))*$C$146*F$124</f>
        <v>0.0</v>
      </c>
      <c r="G146" s="122">
        <f>((F78*(1-'5.Closing Stock &amp; W Capital'!$D$15))+(E78*'5.Closing Stock &amp; W Capital'!$D$15))*$C$146*G$124</f>
        <v>0.0</v>
      </c>
      <c r="H146" s="122">
        <f>((G78*(1-'5.Closing Stock &amp; W Capital'!$D$15))+(F78*'5.Closing Stock &amp; W Capital'!$D$15))*$C$146*H$124</f>
        <v>0.0</v>
      </c>
      <c r="I146" s="122">
        <f>((H78*(1-'5.Closing Stock &amp; W Capital'!$D$15))+(G78*'5.Closing Stock &amp; W Capital'!$D$15))*$C$146*I$124</f>
        <v>0.0</v>
      </c>
      <c r="J146" s="122">
        <f>((I78*(1-'5.Closing Stock &amp; W Capital'!$D$15))+(H78*'5.Closing Stock &amp; W Capital'!$D$15))*$C$146*J$124</f>
        <v>0.0</v>
      </c>
      <c r="K146" s="115"/>
      <c r="U146" s="115"/>
      <c r="V146" s="115"/>
      <c r="W146" s="115"/>
    </row>
    <row r="147" spans="8:8">
      <c r="A147" s="123" t="str">
        <f t="shared" si="52"/>
        <v>Summer</v>
      </c>
      <c r="B147" s="120"/>
      <c r="C147" s="121"/>
      <c r="D147" s="122"/>
      <c r="E147" s="122"/>
      <c r="F147" s="122"/>
      <c r="G147" s="122"/>
      <c r="H147" s="122"/>
      <c r="I147" s="122"/>
      <c r="J147" s="122"/>
      <c r="K147" s="115"/>
      <c r="U147" s="115"/>
      <c r="V147" s="115"/>
      <c r="W147" s="115"/>
    </row>
    <row r="148" spans="8:8">
      <c r="A148" s="120" t="str">
        <f t="shared" si="52"/>
        <v>Groundnut</v>
      </c>
      <c r="B148" s="120"/>
      <c r="C148" s="121"/>
      <c r="D148" s="122">
        <f>(C80*(1-'5.Closing Stock &amp; W Capital'!$D$15))*$C$148*D$124</f>
        <v>0.0</v>
      </c>
      <c r="E148" s="122">
        <f>((D80*(1-'5.Closing Stock &amp; W Capital'!$D$15))+(C80*'5.Closing Stock &amp; W Capital'!$D$15))*$C$148*E$124</f>
        <v>0.0</v>
      </c>
      <c r="F148" s="122">
        <f>((E80*(1-'5.Closing Stock &amp; W Capital'!$D$15))+(D80*'5.Closing Stock &amp; W Capital'!$D$15))*$C$148*F$124</f>
        <v>0.0</v>
      </c>
      <c r="G148" s="122">
        <f>((F80*(1-'5.Closing Stock &amp; W Capital'!$D$15))+(E80*'5.Closing Stock &amp; W Capital'!$D$15))*$C$148*G$124</f>
        <v>0.0</v>
      </c>
      <c r="H148" s="122">
        <f>((G80*(1-'5.Closing Stock &amp; W Capital'!$D$15))+(F80*'5.Closing Stock &amp; W Capital'!$D$15))*$C$148*H$124</f>
        <v>0.0</v>
      </c>
      <c r="I148" s="122">
        <f>((H80*(1-'5.Closing Stock &amp; W Capital'!$D$15))+(G80*'5.Closing Stock &amp; W Capital'!$D$15))*$C$148*I$124</f>
        <v>0.0</v>
      </c>
      <c r="J148" s="122">
        <f>((I80*(1-'5.Closing Stock &amp; W Capital'!$D$15))+(H80*'5.Closing Stock &amp; W Capital'!$D$15))*$C$148*J$124</f>
        <v>0.0</v>
      </c>
      <c r="K148" s="115"/>
      <c r="U148" s="115"/>
      <c r="V148" s="115"/>
      <c r="W148" s="115"/>
    </row>
    <row r="149" spans="8:8">
      <c r="A149" s="120">
        <f t="shared" si="52"/>
        <v>0.0</v>
      </c>
      <c r="B149" s="120"/>
      <c r="C149" s="121"/>
      <c r="D149" s="122">
        <f>(C81*(1-'5.Closing Stock &amp; W Capital'!$D$15))*$C$149*D$124</f>
        <v>0.0</v>
      </c>
      <c r="E149" s="122">
        <f>((D81*(1-'5.Closing Stock &amp; W Capital'!$D$15))+(C81*'5.Closing Stock &amp; W Capital'!$D$15))*$C$149*E$124</f>
        <v>0.0</v>
      </c>
      <c r="F149" s="122">
        <f>((E81*(1-'5.Closing Stock &amp; W Capital'!$D$15))+(D81*'5.Closing Stock &amp; W Capital'!$D$15))*$C$149*F$124</f>
        <v>0.0</v>
      </c>
      <c r="G149" s="122">
        <f>((F81*(1-'5.Closing Stock &amp; W Capital'!$D$15))+(E81*'5.Closing Stock &amp; W Capital'!$D$15))*$C$149*G$124</f>
        <v>0.0</v>
      </c>
      <c r="H149" s="122">
        <f>((G81*(1-'5.Closing Stock &amp; W Capital'!$D$15))+(F81*'5.Closing Stock &amp; W Capital'!$D$15))*$C$149*H$124</f>
        <v>0.0</v>
      </c>
      <c r="I149" s="122">
        <f>((H81*(1-'5.Closing Stock &amp; W Capital'!$D$15))+(G81*'5.Closing Stock &amp; W Capital'!$D$15))*$C$149*I$124</f>
        <v>0.0</v>
      </c>
      <c r="J149" s="122">
        <f>((I81*(1-'5.Closing Stock &amp; W Capital'!$D$15))+(H81*'5.Closing Stock &amp; W Capital'!$D$15))*$C$149*J$124</f>
        <v>0.0</v>
      </c>
      <c r="K149" s="115"/>
      <c r="U149" s="115"/>
      <c r="V149" s="115"/>
      <c r="W149" s="115"/>
    </row>
    <row r="150" spans="8:8">
      <c r="A150" s="120">
        <f t="shared" si="52"/>
        <v>0.0</v>
      </c>
      <c r="B150" s="120"/>
      <c r="C150" s="121"/>
      <c r="D150" s="122">
        <f>(C82*(1-'5.Closing Stock &amp; W Capital'!$D$15))*$C$150*D$124</f>
        <v>0.0</v>
      </c>
      <c r="E150" s="122">
        <f>((D82*(1-'5.Closing Stock &amp; W Capital'!$D$15))+(C82*'5.Closing Stock &amp; W Capital'!$D$15))*$C$150*E$124</f>
        <v>0.0</v>
      </c>
      <c r="F150" s="122">
        <f>((E82*(1-'5.Closing Stock &amp; W Capital'!$D$15))+(D82*'5.Closing Stock &amp; W Capital'!$D$15))*$C$150*F$124</f>
        <v>0.0</v>
      </c>
      <c r="G150" s="122">
        <f>((F82*(1-'5.Closing Stock &amp; W Capital'!$D$15))+(E82*'5.Closing Stock &amp; W Capital'!$D$15))*$C$150*G$124</f>
        <v>0.0</v>
      </c>
      <c r="H150" s="122">
        <f>((G82*(1-'5.Closing Stock &amp; W Capital'!$D$15))+(F82*'5.Closing Stock &amp; W Capital'!$D$15))*$C$150*H$124</f>
        <v>0.0</v>
      </c>
      <c r="I150" s="122">
        <f>((H82*(1-'5.Closing Stock &amp; W Capital'!$D$15))+(G82*'5.Closing Stock &amp; W Capital'!$D$15))*$C$150*I$124</f>
        <v>0.0</v>
      </c>
      <c r="J150" s="122">
        <f>((I82*(1-'5.Closing Stock &amp; W Capital'!$D$15))+(H82*'5.Closing Stock &amp; W Capital'!$D$15))*$C$150*J$124</f>
        <v>0.0</v>
      </c>
      <c r="K150" s="115"/>
      <c r="U150" s="115"/>
      <c r="V150" s="115"/>
      <c r="W150" s="115"/>
    </row>
    <row r="151" spans="8:8">
      <c r="A151" s="120">
        <f t="shared" si="52"/>
        <v>0.0</v>
      </c>
      <c r="B151" s="120"/>
      <c r="C151" s="121"/>
      <c r="D151" s="122">
        <f>(C83*(1-'5.Closing Stock &amp; W Capital'!$D$15))*$C$151*D$124</f>
        <v>0.0</v>
      </c>
      <c r="E151" s="122">
        <f>((D83*(1-'5.Closing Stock &amp; W Capital'!$D$15))+(C83*'5.Closing Stock &amp; W Capital'!$D$15))*$C$151*E$124</f>
        <v>0.0</v>
      </c>
      <c r="F151" s="122">
        <f>((E83*(1-'5.Closing Stock &amp; W Capital'!$D$15))+(D83*'5.Closing Stock &amp; W Capital'!$D$15))*$C$151*F$124</f>
        <v>0.0</v>
      </c>
      <c r="G151" s="122">
        <f>((F83*(1-'5.Closing Stock &amp; W Capital'!$D$15))+(E83*'5.Closing Stock &amp; W Capital'!$D$15))*$C$151*G$124</f>
        <v>0.0</v>
      </c>
      <c r="H151" s="122">
        <f>((G83*(1-'5.Closing Stock &amp; W Capital'!$D$15))+(F83*'5.Closing Stock &amp; W Capital'!$D$15))*$C$151*H$124</f>
        <v>0.0</v>
      </c>
      <c r="I151" s="122">
        <f>((H83*(1-'5.Closing Stock &amp; W Capital'!$D$15))+(G83*'5.Closing Stock &amp; W Capital'!$D$15))*$C$151*I$124</f>
        <v>0.0</v>
      </c>
      <c r="J151" s="122">
        <f>((I83*(1-'5.Closing Stock &amp; W Capital'!$D$15))+(H83*'5.Closing Stock &amp; W Capital'!$D$15))*$C$151*J$124</f>
        <v>0.0</v>
      </c>
      <c r="K151" s="115"/>
      <c r="U151" s="115"/>
      <c r="V151" s="115"/>
      <c r="W151" s="115"/>
    </row>
    <row r="152" spans="8:8">
      <c r="A152" s="120">
        <f t="shared" si="52"/>
        <v>0.0</v>
      </c>
      <c r="B152" s="120"/>
      <c r="C152" s="121"/>
      <c r="D152" s="122">
        <f>(C84*(1-'5.Closing Stock &amp; W Capital'!$D$15))*$C$152*D$124</f>
        <v>0.0</v>
      </c>
      <c r="E152" s="122">
        <f>((D84*(1-'5.Closing Stock &amp; W Capital'!$D$15))+(C84*'5.Closing Stock &amp; W Capital'!$D$15))*$C$152*E$124</f>
        <v>0.0</v>
      </c>
      <c r="F152" s="122">
        <f>((E84*(1-'5.Closing Stock &amp; W Capital'!$D$15))+(D84*'5.Closing Stock &amp; W Capital'!$D$15))*$C$152*F$124</f>
        <v>0.0</v>
      </c>
      <c r="G152" s="122">
        <f>((F84*(1-'5.Closing Stock &amp; W Capital'!$D$15))+(E84*'5.Closing Stock &amp; W Capital'!$D$15))*$C$152*G$124</f>
        <v>0.0</v>
      </c>
      <c r="H152" s="122">
        <f>((G84*(1-'5.Closing Stock &amp; W Capital'!$D$15))+(F84*'5.Closing Stock &amp; W Capital'!$D$15))*$C$152*H$124</f>
        <v>0.0</v>
      </c>
      <c r="I152" s="122">
        <f>((H84*(1-'5.Closing Stock &amp; W Capital'!$D$15))+(G84*'5.Closing Stock &amp; W Capital'!$D$15))*$C$152*I$124</f>
        <v>0.0</v>
      </c>
      <c r="J152" s="122">
        <f>((I84*(1-'5.Closing Stock &amp; W Capital'!$D$15))+(H84*'5.Closing Stock &amp; W Capital'!$D$15))*$C$152*J$124</f>
        <v>0.0</v>
      </c>
      <c r="K152" s="115"/>
      <c r="U152" s="115"/>
      <c r="V152" s="115"/>
      <c r="W152" s="115"/>
    </row>
    <row r="153" spans="8:8">
      <c r="A153" s="120" t="str">
        <f t="shared" si="52"/>
        <v>Fruit  &amp; Vegetables Crop Production Details</v>
      </c>
      <c r="B153" s="120"/>
      <c r="C153" s="121"/>
      <c r="D153" s="122"/>
      <c r="E153" s="122"/>
      <c r="F153" s="122"/>
      <c r="G153" s="122"/>
      <c r="H153" s="122"/>
      <c r="I153" s="122"/>
      <c r="J153" s="122"/>
      <c r="K153" s="115"/>
      <c r="U153" s="115"/>
      <c r="V153" s="115"/>
      <c r="W153" s="115"/>
    </row>
    <row r="154" spans="8:8">
      <c r="A154" s="120" t="str">
        <f t="shared" si="52"/>
        <v>Onion</v>
      </c>
      <c r="B154" s="120"/>
      <c r="C154" s="121"/>
      <c r="D154" s="122">
        <f>(C86*(1-'5.Closing Stock &amp; W Capital'!$D$15))*$C154*D$124</f>
        <v>0.0</v>
      </c>
      <c r="E154" s="122">
        <f>((D86*(1-'5.Closing Stock &amp; W Capital'!$D$15))+(C86*'5.Closing Stock &amp; W Capital'!$D$15))*$C154*E$124</f>
        <v>0.0</v>
      </c>
      <c r="F154" s="122">
        <f>((E86*(1-'5.Closing Stock &amp; W Capital'!$D$15))+(D86*'5.Closing Stock &amp; W Capital'!$D$15))*$C$152*F$124</f>
        <v>0.0</v>
      </c>
      <c r="G154" s="122">
        <f>((F86*(1-'5.Closing Stock &amp; W Capital'!$D$15))+(E86*'5.Closing Stock &amp; W Capital'!$D$15))*$C$152*G$124</f>
        <v>0.0</v>
      </c>
      <c r="H154" s="122">
        <f>((G86*(1-'5.Closing Stock &amp; W Capital'!$D$15))+(F86*'5.Closing Stock &amp; W Capital'!$D$15))*$C$152*H$124</f>
        <v>0.0</v>
      </c>
      <c r="I154" s="122">
        <f>((H86*(1-'5.Closing Stock &amp; W Capital'!$D$15))+(G86*'5.Closing Stock &amp; W Capital'!$D$15))*$C$152*I$124</f>
        <v>0.0</v>
      </c>
      <c r="J154" s="122">
        <f>((I86*(1-'5.Closing Stock &amp; W Capital'!$D$15))+(H86*'5.Closing Stock &amp; W Capital'!$D$15))*$C$152*J$124</f>
        <v>0.0</v>
      </c>
      <c r="K154" s="115"/>
      <c r="U154" s="115"/>
      <c r="V154" s="115"/>
      <c r="W154" s="115"/>
    </row>
    <row r="155" spans="8:8">
      <c r="A155" s="120" t="str">
        <f t="shared" si="52"/>
        <v>Tomato</v>
      </c>
      <c r="B155" s="120"/>
      <c r="C155" s="121"/>
      <c r="D155" s="122">
        <f>(C87*(1-'5.Closing Stock &amp; W Capital'!$D$15))*$C155*D$124</f>
        <v>0.0</v>
      </c>
      <c r="E155" s="122">
        <f>((D87*(1-'5.Closing Stock &amp; W Capital'!$D$15))+(C87*'5.Closing Stock &amp; W Capital'!$D$15))*$C155*E$124</f>
        <v>0.0</v>
      </c>
      <c r="F155" s="122">
        <f>((E87*(1-'5.Closing Stock &amp; W Capital'!$D$15))+(D87*'5.Closing Stock &amp; W Capital'!$D$15))*$C$152*F$124</f>
        <v>0.0</v>
      </c>
      <c r="G155" s="122">
        <f>((F87*(1-'5.Closing Stock &amp; W Capital'!$D$15))+(E87*'5.Closing Stock &amp; W Capital'!$D$15))*$C$152*G$124</f>
        <v>0.0</v>
      </c>
      <c r="H155" s="122">
        <f>((G87*(1-'5.Closing Stock &amp; W Capital'!$D$15))+(F87*'5.Closing Stock &amp; W Capital'!$D$15))*$C$152*H$124</f>
        <v>0.0</v>
      </c>
      <c r="I155" s="122">
        <f>((H87*(1-'5.Closing Stock &amp; W Capital'!$D$15))+(G87*'5.Closing Stock &amp; W Capital'!$D$15))*$C$152*I$124</f>
        <v>0.0</v>
      </c>
      <c r="J155" s="122">
        <f>((I87*(1-'5.Closing Stock &amp; W Capital'!$D$15))+(H87*'5.Closing Stock &amp; W Capital'!$D$15))*$C$152*J$124</f>
        <v>0.0</v>
      </c>
      <c r="K155" s="115"/>
      <c r="U155" s="115"/>
      <c r="V155" s="115"/>
      <c r="W155" s="115"/>
    </row>
    <row r="156" spans="8:8">
      <c r="A156" s="120" t="str">
        <f t="shared" si="52"/>
        <v>Okra</v>
      </c>
      <c r="B156" s="120"/>
      <c r="C156" s="121"/>
      <c r="D156" s="122">
        <f>(C88*(1-'5.Closing Stock &amp; W Capital'!$D$15))*$C156*D$124</f>
        <v>0.0</v>
      </c>
      <c r="E156" s="122">
        <f>((D88*(1-'5.Closing Stock &amp; W Capital'!$D$15))+(C88*'5.Closing Stock &amp; W Capital'!$D$15))*$C156*E$124</f>
        <v>0.0</v>
      </c>
      <c r="F156" s="122">
        <f>((E88*(1-'5.Closing Stock &amp; W Capital'!$D$15))+(D88*'5.Closing Stock &amp; W Capital'!$D$15))*$C$152*F$124</f>
        <v>0.0</v>
      </c>
      <c r="G156" s="122">
        <f>((F88*(1-'5.Closing Stock &amp; W Capital'!$D$15))+(E88*'5.Closing Stock &amp; W Capital'!$D$15))*$C$152*G$124</f>
        <v>0.0</v>
      </c>
      <c r="H156" s="122">
        <f>((G88*(1-'5.Closing Stock &amp; W Capital'!$D$15))+(F88*'5.Closing Stock &amp; W Capital'!$D$15))*$C$152*H$124</f>
        <v>0.0</v>
      </c>
      <c r="I156" s="122">
        <f>((H88*(1-'5.Closing Stock &amp; W Capital'!$D$15))+(G88*'5.Closing Stock &amp; W Capital'!$D$15))*$C$152*I$124</f>
        <v>0.0</v>
      </c>
      <c r="J156" s="122">
        <f>((I88*(1-'5.Closing Stock &amp; W Capital'!$D$15))+(H88*'5.Closing Stock &amp; W Capital'!$D$15))*$C$152*J$124</f>
        <v>0.0</v>
      </c>
      <c r="K156" s="115"/>
      <c r="U156" s="115"/>
      <c r="V156" s="115"/>
      <c r="W156" s="115"/>
    </row>
    <row r="157" spans="8:8">
      <c r="A157" s="120" t="str">
        <f t="shared" si="52"/>
        <v>Chilli</v>
      </c>
      <c r="B157" s="120"/>
      <c r="C157" s="121"/>
      <c r="D157" s="122">
        <f>(C89*(1-'5.Closing Stock &amp; W Capital'!$D$15))*$C157*D$124</f>
        <v>0.0</v>
      </c>
      <c r="E157" s="122">
        <f>((D89*(1-'5.Closing Stock &amp; W Capital'!$D$15))+(C89*'5.Closing Stock &amp; W Capital'!$D$15))*$C157*E$124</f>
        <v>0.0</v>
      </c>
      <c r="F157" s="122">
        <f>((E89*(1-'5.Closing Stock &amp; W Capital'!$D$15))+(D89*'5.Closing Stock &amp; W Capital'!$D$15))*$C$152*F$124</f>
        <v>0.0</v>
      </c>
      <c r="G157" s="122">
        <f>((F89*(1-'5.Closing Stock &amp; W Capital'!$D$15))+(E89*'5.Closing Stock &amp; W Capital'!$D$15))*$C$152*G$124</f>
        <v>0.0</v>
      </c>
      <c r="H157" s="122">
        <f>((G89*(1-'5.Closing Stock &amp; W Capital'!$D$15))+(F89*'5.Closing Stock &amp; W Capital'!$D$15))*$C$152*H$124</f>
        <v>0.0</v>
      </c>
      <c r="I157" s="122">
        <f>((H89*(1-'5.Closing Stock &amp; W Capital'!$D$15))+(G89*'5.Closing Stock &amp; W Capital'!$D$15))*$C$152*I$124</f>
        <v>0.0</v>
      </c>
      <c r="J157" s="122">
        <f>((I89*(1-'5.Closing Stock &amp; W Capital'!$D$15))+(H89*'5.Closing Stock &amp; W Capital'!$D$15))*$C$152*J$124</f>
        <v>0.0</v>
      </c>
      <c r="K157" s="115"/>
      <c r="U157" s="115"/>
      <c r="V157" s="115"/>
      <c r="W157" s="115"/>
    </row>
    <row r="158" spans="8:8">
      <c r="A158" s="120" t="str">
        <f t="shared" si="52"/>
        <v>Potato</v>
      </c>
      <c r="B158" s="120"/>
      <c r="C158" s="121"/>
      <c r="D158" s="122">
        <f>(C90*(1-'5.Closing Stock &amp; W Capital'!$D$15))*$C158*D$124</f>
        <v>0.0</v>
      </c>
      <c r="E158" s="122">
        <f>((D90*(1-'5.Closing Stock &amp; W Capital'!$D$15))+(C90*'5.Closing Stock &amp; W Capital'!$D$15))*$C158*E$124</f>
        <v>0.0</v>
      </c>
      <c r="F158" s="122">
        <f>((E90*(1-'5.Closing Stock &amp; W Capital'!$D$15))+(D90*'5.Closing Stock &amp; W Capital'!$D$15))*$C$152*F$124</f>
        <v>0.0</v>
      </c>
      <c r="G158" s="122">
        <f>((F90*(1-'5.Closing Stock &amp; W Capital'!$D$15))+(E90*'5.Closing Stock &amp; W Capital'!$D$15))*$C$152*G$124</f>
        <v>0.0</v>
      </c>
      <c r="H158" s="122">
        <f>((G90*(1-'5.Closing Stock &amp; W Capital'!$D$15))+(F90*'5.Closing Stock &amp; W Capital'!$D$15))*$C$152*H$124</f>
        <v>0.0</v>
      </c>
      <c r="I158" s="122">
        <f>((H90*(1-'5.Closing Stock &amp; W Capital'!$D$15))+(G90*'5.Closing Stock &amp; W Capital'!$D$15))*$C$152*I$124</f>
        <v>0.0</v>
      </c>
      <c r="J158" s="122">
        <f>((I90*(1-'5.Closing Stock &amp; W Capital'!$D$15))+(H90*'5.Closing Stock &amp; W Capital'!$D$15))*$C$152*J$124</f>
        <v>0.0</v>
      </c>
      <c r="K158" s="115"/>
      <c r="U158" s="115"/>
      <c r="V158" s="115"/>
      <c r="W158" s="115"/>
    </row>
    <row r="159" spans="8:8">
      <c r="A159" s="120">
        <f t="shared" si="52"/>
        <v>0.0</v>
      </c>
      <c r="B159" s="120"/>
      <c r="C159" s="121"/>
      <c r="D159" s="122">
        <f>(C91*(1-'5.Closing Stock &amp; W Capital'!$D$15))*$C159*D$124</f>
        <v>0.0</v>
      </c>
      <c r="E159" s="122">
        <f>((D91*(1-'5.Closing Stock &amp; W Capital'!$D$15))+(C91*'5.Closing Stock &amp; W Capital'!$D$15))*$C159*E$124</f>
        <v>0.0</v>
      </c>
      <c r="F159" s="122">
        <f>((E91*(1-'5.Closing Stock &amp; W Capital'!$D$15))+(D91*'5.Closing Stock &amp; W Capital'!$D$15))*$C$152*F$124</f>
        <v>0.0</v>
      </c>
      <c r="G159" s="122">
        <f>((F91*(1-'5.Closing Stock &amp; W Capital'!$D$15))+(E91*'5.Closing Stock &amp; W Capital'!$D$15))*$C$152*G$124</f>
        <v>0.0</v>
      </c>
      <c r="H159" s="122">
        <f>((G91*(1-'5.Closing Stock &amp; W Capital'!$D$15))+(F91*'5.Closing Stock &amp; W Capital'!$D$15))*$C$152*H$124</f>
        <v>0.0</v>
      </c>
      <c r="I159" s="122">
        <f>((H91*(1-'5.Closing Stock &amp; W Capital'!$D$15))+(G91*'5.Closing Stock &amp; W Capital'!$D$15))*$C$152*I$124</f>
        <v>0.0</v>
      </c>
      <c r="J159" s="122">
        <f>((I91*(1-'5.Closing Stock &amp; W Capital'!$D$15))+(H91*'5.Closing Stock &amp; W Capital'!$D$15))*$C$152*J$124</f>
        <v>0.0</v>
      </c>
      <c r="K159" s="115"/>
      <c r="U159" s="115"/>
      <c r="V159" s="115"/>
      <c r="W159" s="115"/>
    </row>
    <row r="160" spans="8:8">
      <c r="A160" s="120">
        <f t="shared" si="52"/>
        <v>0.0</v>
      </c>
      <c r="B160" s="120"/>
      <c r="C160" s="121"/>
      <c r="D160" s="122">
        <f>(C92*(1-'5.Closing Stock &amp; W Capital'!$D$15))*$C160*D$124</f>
        <v>0.0</v>
      </c>
      <c r="E160" s="122">
        <f>((D92*(1-'5.Closing Stock &amp; W Capital'!$D$15))+(C92*'5.Closing Stock &amp; W Capital'!$D$15))*$C160*E$124</f>
        <v>0.0</v>
      </c>
      <c r="F160" s="122">
        <f>((E92*(1-'5.Closing Stock &amp; W Capital'!$D$15))+(D92*'5.Closing Stock &amp; W Capital'!$D$15))*$C$152*F$124</f>
        <v>0.0</v>
      </c>
      <c r="G160" s="122">
        <f>((F92*(1-'5.Closing Stock &amp; W Capital'!$D$15))+(E92*'5.Closing Stock &amp; W Capital'!$D$15))*$C$152*G$124</f>
        <v>0.0</v>
      </c>
      <c r="H160" s="122">
        <f>((G92*(1-'5.Closing Stock &amp; W Capital'!$D$15))+(F92*'5.Closing Stock &amp; W Capital'!$D$15))*$C$152*H$124</f>
        <v>0.0</v>
      </c>
      <c r="I160" s="122">
        <f>((H92*(1-'5.Closing Stock &amp; W Capital'!$D$15))+(G92*'5.Closing Stock &amp; W Capital'!$D$15))*$C$152*I$124</f>
        <v>0.0</v>
      </c>
      <c r="J160" s="122">
        <f>((I92*(1-'5.Closing Stock &amp; W Capital'!$D$15))+(H92*'5.Closing Stock &amp; W Capital'!$D$15))*$C$152*J$124</f>
        <v>0.0</v>
      </c>
      <c r="K160" s="115"/>
      <c r="U160" s="115"/>
      <c r="V160" s="115"/>
      <c r="W160" s="115"/>
    </row>
    <row r="161" spans="8:8">
      <c r="A161" s="120">
        <f t="shared" si="53" ref="A161:A179">A40</f>
        <v>0.0</v>
      </c>
      <c r="B161" s="120"/>
      <c r="C161" s="121"/>
      <c r="D161" s="122">
        <f>(C93*(1-'5.Closing Stock &amp; W Capital'!$D$15))*$C161*D$124</f>
        <v>0.0</v>
      </c>
      <c r="E161" s="122">
        <f>((D93*(1-'5.Closing Stock &amp; W Capital'!$D$15))+(C93*'5.Closing Stock &amp; W Capital'!$D$15))*$C161*E$124</f>
        <v>0.0</v>
      </c>
      <c r="F161" s="122">
        <f>((E93*(1-'5.Closing Stock &amp; W Capital'!$D$15))+(D93*'5.Closing Stock &amp; W Capital'!$D$15))*$C$152*F$124</f>
        <v>0.0</v>
      </c>
      <c r="G161" s="122">
        <f>((F93*(1-'5.Closing Stock &amp; W Capital'!$D$15))+(E93*'5.Closing Stock &amp; W Capital'!$D$15))*$C$152*G$124</f>
        <v>0.0</v>
      </c>
      <c r="H161" s="122">
        <f>((G93*(1-'5.Closing Stock &amp; W Capital'!$D$15))+(F93*'5.Closing Stock &amp; W Capital'!$D$15))*$C$152*H$124</f>
        <v>0.0</v>
      </c>
      <c r="I161" s="122">
        <f>((H93*(1-'5.Closing Stock &amp; W Capital'!$D$15))+(G93*'5.Closing Stock &amp; W Capital'!$D$15))*$C$152*I$124</f>
        <v>0.0</v>
      </c>
      <c r="J161" s="122">
        <f>((I93*(1-'5.Closing Stock &amp; W Capital'!$D$15))+(H93*'5.Closing Stock &amp; W Capital'!$D$15))*$C$152*J$124</f>
        <v>0.0</v>
      </c>
      <c r="K161" s="115"/>
      <c r="U161" s="115"/>
      <c r="V161" s="115"/>
      <c r="W161" s="115"/>
    </row>
    <row r="162" spans="8:8">
      <c r="A162" s="120">
        <f t="shared" si="53"/>
        <v>0.0</v>
      </c>
      <c r="B162" s="120"/>
      <c r="C162" s="121"/>
      <c r="D162" s="122">
        <f>(C94*(1-'5.Closing Stock &amp; W Capital'!$D$15))*$C162*D$124</f>
        <v>0.0</v>
      </c>
      <c r="E162" s="122">
        <f>((D94*(1-'5.Closing Stock &amp; W Capital'!$D$15))+(C94*'5.Closing Stock &amp; W Capital'!$D$15))*$C162*E$124</f>
        <v>0.0</v>
      </c>
      <c r="F162" s="122">
        <f>((E94*(1-'5.Closing Stock &amp; W Capital'!$D$15))+(D94*'5.Closing Stock &amp; W Capital'!$D$15))*$C$152*F$124</f>
        <v>0.0</v>
      </c>
      <c r="G162" s="122">
        <f>((F94*(1-'5.Closing Stock &amp; W Capital'!$D$15))+(E94*'5.Closing Stock &amp; W Capital'!$D$15))*$C$152*G$124</f>
        <v>0.0</v>
      </c>
      <c r="H162" s="122">
        <f>((G94*(1-'5.Closing Stock &amp; W Capital'!$D$15))+(F94*'5.Closing Stock &amp; W Capital'!$D$15))*$C$152*H$124</f>
        <v>0.0</v>
      </c>
      <c r="I162" s="122">
        <f>((H94*(1-'5.Closing Stock &amp; W Capital'!$D$15))+(G94*'5.Closing Stock &amp; W Capital'!$D$15))*$C$152*I$124</f>
        <v>0.0</v>
      </c>
      <c r="J162" s="122">
        <f>((I94*(1-'5.Closing Stock &amp; W Capital'!$D$15))+(H94*'5.Closing Stock &amp; W Capital'!$D$15))*$C$152*J$124</f>
        <v>0.0</v>
      </c>
      <c r="K162" s="115"/>
      <c r="U162" s="115"/>
      <c r="V162" s="115"/>
      <c r="W162" s="115"/>
    </row>
    <row r="163" spans="8:8">
      <c r="A163" s="120" t="str">
        <f t="shared" si="53"/>
        <v>Onion</v>
      </c>
      <c r="B163" s="120"/>
      <c r="C163" s="121"/>
      <c r="D163" s="122">
        <f>(C95*(1-'5.Closing Stock &amp; W Capital'!$D$15))*$C163*D$124</f>
        <v>0.0</v>
      </c>
      <c r="E163" s="122">
        <f>((D95*(1-'5.Closing Stock &amp; W Capital'!$D$15))+(C95*'5.Closing Stock &amp; W Capital'!$D$15))*$C163*E$124</f>
        <v>0.0</v>
      </c>
      <c r="F163" s="122">
        <f>((E95*(1-'5.Closing Stock &amp; W Capital'!$D$15))+(D95*'5.Closing Stock &amp; W Capital'!$D$15))*$C$152*F$124</f>
        <v>0.0</v>
      </c>
      <c r="G163" s="122">
        <f>((F95*(1-'5.Closing Stock &amp; W Capital'!$D$15))+(E95*'5.Closing Stock &amp; W Capital'!$D$15))*$C$152*G$124</f>
        <v>0.0</v>
      </c>
      <c r="H163" s="122">
        <f>((G95*(1-'5.Closing Stock &amp; W Capital'!$D$15))+(F95*'5.Closing Stock &amp; W Capital'!$D$15))*$C$152*H$124</f>
        <v>0.0</v>
      </c>
      <c r="I163" s="122">
        <f>((H95*(1-'5.Closing Stock &amp; W Capital'!$D$15))+(G95*'5.Closing Stock &amp; W Capital'!$D$15))*$C$152*I$124</f>
        <v>0.0</v>
      </c>
      <c r="J163" s="122">
        <f>((I95*(1-'5.Closing Stock &amp; W Capital'!$D$15))+(H95*'5.Closing Stock &amp; W Capital'!$D$15))*$C$152*J$124</f>
        <v>0.0</v>
      </c>
      <c r="K163" s="115"/>
      <c r="U163" s="115"/>
      <c r="V163" s="115"/>
      <c r="W163" s="115"/>
    </row>
    <row r="164" spans="8:8">
      <c r="A164" s="120" t="str">
        <f t="shared" si="53"/>
        <v>Tomato</v>
      </c>
      <c r="B164" s="120"/>
      <c r="C164" s="121"/>
      <c r="D164" s="122">
        <f>(C96*(1-'5.Closing Stock &amp; W Capital'!$D$15))*$C164*D$124</f>
        <v>0.0</v>
      </c>
      <c r="E164" s="122">
        <f>((D96*(1-'5.Closing Stock &amp; W Capital'!$D$15))+(C96*'5.Closing Stock &amp; W Capital'!$D$15))*$C164*E$124</f>
        <v>0.0</v>
      </c>
      <c r="F164" s="122">
        <f>((E96*(1-'5.Closing Stock &amp; W Capital'!$D$15))+(D96*'5.Closing Stock &amp; W Capital'!$D$15))*$C$152*F$124</f>
        <v>0.0</v>
      </c>
      <c r="G164" s="122">
        <f>((F96*(1-'5.Closing Stock &amp; W Capital'!$D$15))+(E96*'5.Closing Stock &amp; W Capital'!$D$15))*$C$152*G$124</f>
        <v>0.0</v>
      </c>
      <c r="H164" s="122">
        <f>((G96*(1-'5.Closing Stock &amp; W Capital'!$D$15))+(F96*'5.Closing Stock &amp; W Capital'!$D$15))*$C$152*H$124</f>
        <v>0.0</v>
      </c>
      <c r="I164" s="122">
        <f>((H96*(1-'5.Closing Stock &amp; W Capital'!$D$15))+(G96*'5.Closing Stock &amp; W Capital'!$D$15))*$C$152*I$124</f>
        <v>0.0</v>
      </c>
      <c r="J164" s="122">
        <f>((I96*(1-'5.Closing Stock &amp; W Capital'!$D$15))+(H96*'5.Closing Stock &amp; W Capital'!$D$15))*$C$152*J$124</f>
        <v>0.0</v>
      </c>
      <c r="K164" s="115"/>
      <c r="U164" s="115"/>
      <c r="V164" s="115"/>
      <c r="W164" s="115"/>
    </row>
    <row r="165" spans="8:8">
      <c r="A165" s="120" t="str">
        <f t="shared" si="53"/>
        <v>Okra</v>
      </c>
      <c r="B165" s="120"/>
      <c r="C165" s="121"/>
      <c r="D165" s="122">
        <f>(C97*(1-'5.Closing Stock &amp; W Capital'!$D$15))*$C165*D$124</f>
        <v>0.0</v>
      </c>
      <c r="E165" s="122">
        <f>((D97*(1-'5.Closing Stock &amp; W Capital'!$D$15))+(C97*'5.Closing Stock &amp; W Capital'!$D$15))*$C165*E$124</f>
        <v>0.0</v>
      </c>
      <c r="F165" s="122">
        <f>((E97*(1-'5.Closing Stock &amp; W Capital'!$D$15))+(D97*'5.Closing Stock &amp; W Capital'!$D$15))*$C$152*F$124</f>
        <v>0.0</v>
      </c>
      <c r="G165" s="122">
        <f>((F97*(1-'5.Closing Stock &amp; W Capital'!$D$15))+(E97*'5.Closing Stock &amp; W Capital'!$D$15))*$C$152*G$124</f>
        <v>0.0</v>
      </c>
      <c r="H165" s="122">
        <f>((G97*(1-'5.Closing Stock &amp; W Capital'!$D$15))+(F97*'5.Closing Stock &amp; W Capital'!$D$15))*$C$152*H$124</f>
        <v>0.0</v>
      </c>
      <c r="I165" s="122">
        <f>((H97*(1-'5.Closing Stock &amp; W Capital'!$D$15))+(G97*'5.Closing Stock &amp; W Capital'!$D$15))*$C$152*I$124</f>
        <v>0.0</v>
      </c>
      <c r="J165" s="122">
        <f>((I97*(1-'5.Closing Stock &amp; W Capital'!$D$15))+(H97*'5.Closing Stock &amp; W Capital'!$D$15))*$C$152*J$124</f>
        <v>0.0</v>
      </c>
      <c r="K165" s="115"/>
      <c r="U165" s="115"/>
      <c r="V165" s="115"/>
      <c r="W165" s="115"/>
    </row>
    <row r="166" spans="8:8">
      <c r="A166" s="120" t="str">
        <f t="shared" si="53"/>
        <v>Chilli</v>
      </c>
      <c r="B166" s="120"/>
      <c r="C166" s="121"/>
      <c r="D166" s="122">
        <f>(C98*(1-'5.Closing Stock &amp; W Capital'!$D$15))*$C166*D$124</f>
        <v>0.0</v>
      </c>
      <c r="E166" s="122">
        <f>((D98*(1-'5.Closing Stock &amp; W Capital'!$D$15))+(C98*'5.Closing Stock &amp; W Capital'!$D$15))*$C166*E$124</f>
        <v>0.0</v>
      </c>
      <c r="F166" s="122">
        <f>((E98*(1-'5.Closing Stock &amp; W Capital'!$D$15))+(D98*'5.Closing Stock &amp; W Capital'!$D$15))*$C$152*F$124</f>
        <v>0.0</v>
      </c>
      <c r="G166" s="122">
        <f>((F98*(1-'5.Closing Stock &amp; W Capital'!$D$15))+(E98*'5.Closing Stock &amp; W Capital'!$D$15))*$C$152*G$124</f>
        <v>0.0</v>
      </c>
      <c r="H166" s="122">
        <f>((G98*(1-'5.Closing Stock &amp; W Capital'!$D$15))+(F98*'5.Closing Stock &amp; W Capital'!$D$15))*$C$152*H$124</f>
        <v>0.0</v>
      </c>
      <c r="I166" s="122">
        <f>((H98*(1-'5.Closing Stock &amp; W Capital'!$D$15))+(G98*'5.Closing Stock &amp; W Capital'!$D$15))*$C$152*I$124</f>
        <v>0.0</v>
      </c>
      <c r="J166" s="122">
        <f>((I98*(1-'5.Closing Stock &amp; W Capital'!$D$15))+(H98*'5.Closing Stock &amp; W Capital'!$D$15))*$C$152*J$124</f>
        <v>0.0</v>
      </c>
      <c r="K166" s="115"/>
      <c r="U166" s="115"/>
      <c r="V166" s="115"/>
      <c r="W166" s="115"/>
    </row>
    <row r="167" spans="8:8">
      <c r="A167" s="120" t="str">
        <f t="shared" si="53"/>
        <v>Brinjal</v>
      </c>
      <c r="B167" s="120"/>
      <c r="C167" s="121"/>
      <c r="D167" s="122">
        <f>(C99*(1-'5.Closing Stock &amp; W Capital'!$D$15))*$C167*D$124</f>
        <v>0.0</v>
      </c>
      <c r="E167" s="122">
        <f>((D99*(1-'5.Closing Stock &amp; W Capital'!$D$15))+(C99*'5.Closing Stock &amp; W Capital'!$D$15))*$C167*E$124</f>
        <v>0.0</v>
      </c>
      <c r="F167" s="122">
        <f>((E99*(1-'5.Closing Stock &amp; W Capital'!$D$15))+(D99*'5.Closing Stock &amp; W Capital'!$D$15))*$C$152*F$124</f>
        <v>0.0</v>
      </c>
      <c r="G167" s="122">
        <f>((F99*(1-'5.Closing Stock &amp; W Capital'!$D$15))+(E99*'5.Closing Stock &amp; W Capital'!$D$15))*$C$152*G$124</f>
        <v>0.0</v>
      </c>
      <c r="H167" s="122">
        <f>((G99*(1-'5.Closing Stock &amp; W Capital'!$D$15))+(F99*'5.Closing Stock &amp; W Capital'!$D$15))*$C$152*H$124</f>
        <v>0.0</v>
      </c>
      <c r="I167" s="122">
        <f>((H99*(1-'5.Closing Stock &amp; W Capital'!$D$15))+(G99*'5.Closing Stock &amp; W Capital'!$D$15))*$C$152*I$124</f>
        <v>0.0</v>
      </c>
      <c r="J167" s="122">
        <f>((I99*(1-'5.Closing Stock &amp; W Capital'!$D$15))+(H99*'5.Closing Stock &amp; W Capital'!$D$15))*$C$152*J$124</f>
        <v>0.0</v>
      </c>
      <c r="K167" s="115"/>
      <c r="U167" s="115"/>
      <c r="V167" s="115"/>
      <c r="W167" s="115"/>
    </row>
    <row r="168" spans="8:8">
      <c r="A168" s="120">
        <f t="shared" si="53"/>
        <v>0.0</v>
      </c>
      <c r="B168" s="120"/>
      <c r="C168" s="121"/>
      <c r="D168" s="122">
        <f>(C100*(1-'5.Closing Stock &amp; W Capital'!$D$15))*$C168*D$124</f>
        <v>0.0</v>
      </c>
      <c r="E168" s="122">
        <f>((D100*(1-'5.Closing Stock &amp; W Capital'!$D$15))+(C100*'5.Closing Stock &amp; W Capital'!$D$15))*$C168*E$124</f>
        <v>0.0</v>
      </c>
      <c r="F168" s="122">
        <f>((E100*(1-'5.Closing Stock &amp; W Capital'!$D$15))+(D100*'5.Closing Stock &amp; W Capital'!$D$15))*$C$152*F$124</f>
        <v>0.0</v>
      </c>
      <c r="G168" s="122">
        <f>((F100*(1-'5.Closing Stock &amp; W Capital'!$D$15))+(E100*'5.Closing Stock &amp; W Capital'!$D$15))*$C$152*G$124</f>
        <v>0.0</v>
      </c>
      <c r="H168" s="122">
        <f>((G100*(1-'5.Closing Stock &amp; W Capital'!$D$15))+(F100*'5.Closing Stock &amp; W Capital'!$D$15))*$C$152*H$124</f>
        <v>0.0</v>
      </c>
      <c r="I168" s="122">
        <f>((H100*(1-'5.Closing Stock &amp; W Capital'!$D$15))+(G100*'5.Closing Stock &amp; W Capital'!$D$15))*$C$152*I$124</f>
        <v>0.0</v>
      </c>
      <c r="J168" s="122">
        <f>((I100*(1-'5.Closing Stock &amp; W Capital'!$D$15))+(H100*'5.Closing Stock &amp; W Capital'!$D$15))*$C$152*J$124</f>
        <v>0.0</v>
      </c>
      <c r="K168" s="115"/>
      <c r="U168" s="115"/>
      <c r="V168" s="115"/>
      <c r="W168" s="115"/>
    </row>
    <row r="169" spans="8:8">
      <c r="A169" s="120">
        <f t="shared" si="53"/>
        <v>0.0</v>
      </c>
      <c r="B169" s="120"/>
      <c r="C169" s="121"/>
      <c r="D169" s="122">
        <f>(C101*(1-'5.Closing Stock &amp; W Capital'!$D$15))*$C169*D$124</f>
        <v>0.0</v>
      </c>
      <c r="E169" s="122">
        <f>((D101*(1-'5.Closing Stock &amp; W Capital'!$D$15))+(C101*'5.Closing Stock &amp; W Capital'!$D$15))*$C169*E$124</f>
        <v>0.0</v>
      </c>
      <c r="F169" s="122">
        <f>((E101*(1-'5.Closing Stock &amp; W Capital'!$D$15))+(D101*'5.Closing Stock &amp; W Capital'!$D$15))*$C$152*F$124</f>
        <v>0.0</v>
      </c>
      <c r="G169" s="122">
        <f>((F101*(1-'5.Closing Stock &amp; W Capital'!$D$15))+(E101*'5.Closing Stock &amp; W Capital'!$D$15))*$C$152*G$124</f>
        <v>0.0</v>
      </c>
      <c r="H169" s="122">
        <f>((G101*(1-'5.Closing Stock &amp; W Capital'!$D$15))+(F101*'5.Closing Stock &amp; W Capital'!$D$15))*$C$152*H$124</f>
        <v>0.0</v>
      </c>
      <c r="I169" s="122">
        <f>((H101*(1-'5.Closing Stock &amp; W Capital'!$D$15))+(G101*'5.Closing Stock &amp; W Capital'!$D$15))*$C$152*I$124</f>
        <v>0.0</v>
      </c>
      <c r="J169" s="122">
        <f>((I101*(1-'5.Closing Stock &amp; W Capital'!$D$15))+(H101*'5.Closing Stock &amp; W Capital'!$D$15))*$C$152*J$124</f>
        <v>0.0</v>
      </c>
      <c r="K169" s="115"/>
      <c r="U169" s="115"/>
      <c r="V169" s="115"/>
      <c r="W169" s="115"/>
    </row>
    <row r="170" spans="8:8">
      <c r="A170" s="120">
        <f t="shared" si="53"/>
        <v>0.0</v>
      </c>
      <c r="B170" s="120"/>
      <c r="C170" s="121"/>
      <c r="D170" s="122">
        <f>(C102*(1-'5.Closing Stock &amp; W Capital'!$D$15))*$C170*D$124</f>
        <v>0.0</v>
      </c>
      <c r="E170" s="122">
        <f>((D102*(1-'5.Closing Stock &amp; W Capital'!$D$15))+(C102*'5.Closing Stock &amp; W Capital'!$D$15))*$C170*E$124</f>
        <v>0.0</v>
      </c>
      <c r="F170" s="122">
        <f>((E102*(1-'5.Closing Stock &amp; W Capital'!$D$15))+(D102*'5.Closing Stock &amp; W Capital'!$D$15))*$C$152*F$124</f>
        <v>0.0</v>
      </c>
      <c r="G170" s="122">
        <f>((F102*(1-'5.Closing Stock &amp; W Capital'!$D$15))+(E102*'5.Closing Stock &amp; W Capital'!$D$15))*$C$152*G$124</f>
        <v>0.0</v>
      </c>
      <c r="H170" s="122">
        <f>((G102*(1-'5.Closing Stock &amp; W Capital'!$D$15))+(F102*'5.Closing Stock &amp; W Capital'!$D$15))*$C$152*H$124</f>
        <v>0.0</v>
      </c>
      <c r="I170" s="122">
        <f>((H102*(1-'5.Closing Stock &amp; W Capital'!$D$15))+(G102*'5.Closing Stock &amp; W Capital'!$D$15))*$C$152*I$124</f>
        <v>0.0</v>
      </c>
      <c r="J170" s="122">
        <f>((I102*(1-'5.Closing Stock &amp; W Capital'!$D$15))+(H102*'5.Closing Stock &amp; W Capital'!$D$15))*$C$152*J$124</f>
        <v>0.0</v>
      </c>
      <c r="K170" s="115"/>
      <c r="U170" s="115"/>
      <c r="V170" s="115"/>
      <c r="W170" s="115"/>
    </row>
    <row r="171" spans="8:8">
      <c r="A171" s="120">
        <f t="shared" si="53"/>
        <v>0.0</v>
      </c>
      <c r="B171" s="120"/>
      <c r="C171" s="121"/>
      <c r="D171" s="122">
        <f>(C103*(1-'5.Closing Stock &amp; W Capital'!$D$15))*$C171*D$124</f>
        <v>0.0</v>
      </c>
      <c r="E171" s="122">
        <f>((D103*(1-'5.Closing Stock &amp; W Capital'!$D$15))+(C103*'5.Closing Stock &amp; W Capital'!$D$15))*$C171*E$124</f>
        <v>0.0</v>
      </c>
      <c r="F171" s="122">
        <f>((E103*(1-'5.Closing Stock &amp; W Capital'!$D$15))+(D103*'5.Closing Stock &amp; W Capital'!$D$15))*$C$152*F$124</f>
        <v>0.0</v>
      </c>
      <c r="G171" s="122">
        <f>((F103*(1-'5.Closing Stock &amp; W Capital'!$D$15))+(E103*'5.Closing Stock &amp; W Capital'!$D$15))*$C$152*G$124</f>
        <v>0.0</v>
      </c>
      <c r="H171" s="122">
        <f>((G103*(1-'5.Closing Stock &amp; W Capital'!$D$15))+(F103*'5.Closing Stock &amp; W Capital'!$D$15))*$C$152*H$124</f>
        <v>0.0</v>
      </c>
      <c r="I171" s="122">
        <f>((H103*(1-'5.Closing Stock &amp; W Capital'!$D$15))+(G103*'5.Closing Stock &amp; W Capital'!$D$15))*$C$152*I$124</f>
        <v>0.0</v>
      </c>
      <c r="J171" s="122">
        <f>((I103*(1-'5.Closing Stock &amp; W Capital'!$D$15))+(H103*'5.Closing Stock &amp; W Capital'!$D$15))*$C$152*J$124</f>
        <v>0.0</v>
      </c>
      <c r="K171" s="115"/>
      <c r="U171" s="115"/>
      <c r="V171" s="115"/>
      <c r="W171" s="115"/>
    </row>
    <row r="172" spans="8:8">
      <c r="A172" s="120">
        <f t="shared" si="53"/>
        <v>0.0</v>
      </c>
      <c r="B172" s="120"/>
      <c r="C172" s="121"/>
      <c r="D172" s="122">
        <f>(C104*(1-'5.Closing Stock &amp; W Capital'!$D$15))*$C172*D$124</f>
        <v>0.0</v>
      </c>
      <c r="E172" s="122">
        <f>((D104*(1-'5.Closing Stock &amp; W Capital'!$D$15))+(C104*'5.Closing Stock &amp; W Capital'!$D$15))*$C172*E$124</f>
        <v>0.0</v>
      </c>
      <c r="F172" s="122">
        <f>((E104*(1-'5.Closing Stock &amp; W Capital'!$D$15))+(D104*'5.Closing Stock &amp; W Capital'!$D$15))*$C$152*F$124</f>
        <v>0.0</v>
      </c>
      <c r="G172" s="122">
        <f>((F104*(1-'5.Closing Stock &amp; W Capital'!$D$15))+(E104*'5.Closing Stock &amp; W Capital'!$D$15))*$C$152*G$124</f>
        <v>0.0</v>
      </c>
      <c r="H172" s="122">
        <f>((G104*(1-'5.Closing Stock &amp; W Capital'!$D$15))+(F104*'5.Closing Stock &amp; W Capital'!$D$15))*$C$152*H$124</f>
        <v>0.0</v>
      </c>
      <c r="I172" s="122">
        <f>((H104*(1-'5.Closing Stock &amp; W Capital'!$D$15))+(G104*'5.Closing Stock &amp; W Capital'!$D$15))*$C$152*I$124</f>
        <v>0.0</v>
      </c>
      <c r="J172" s="122">
        <f>((I104*(1-'5.Closing Stock &amp; W Capital'!$D$15))+(H104*'5.Closing Stock &amp; W Capital'!$D$15))*$C$152*J$124</f>
        <v>0.0</v>
      </c>
      <c r="K172" s="115"/>
      <c r="U172" s="115"/>
      <c r="V172" s="115"/>
      <c r="W172" s="115"/>
    </row>
    <row r="173" spans="8:8">
      <c r="A173" s="120">
        <f t="shared" si="53"/>
        <v>0.0</v>
      </c>
      <c r="B173" s="120"/>
      <c r="C173" s="121"/>
      <c r="D173" s="122">
        <f>(C105*(1-'5.Closing Stock &amp; W Capital'!$D$15))*$C173*D$124</f>
        <v>0.0</v>
      </c>
      <c r="E173" s="122">
        <f>((D105*(1-'5.Closing Stock &amp; W Capital'!$D$15))+(C105*'5.Closing Stock &amp; W Capital'!$D$15))*$C173*E$124</f>
        <v>0.0</v>
      </c>
      <c r="F173" s="122">
        <f>((E105*(1-'5.Closing Stock &amp; W Capital'!$D$15))+(D105*'5.Closing Stock &amp; W Capital'!$D$15))*$C$152*F$124</f>
        <v>0.0</v>
      </c>
      <c r="G173" s="122">
        <f>((F105*(1-'5.Closing Stock &amp; W Capital'!$D$15))+(E105*'5.Closing Stock &amp; W Capital'!$D$15))*$C$152*G$124</f>
        <v>0.0</v>
      </c>
      <c r="H173" s="122">
        <f>((G105*(1-'5.Closing Stock &amp; W Capital'!$D$15))+(F105*'5.Closing Stock &amp; W Capital'!$D$15))*$C$152*H$124</f>
        <v>0.0</v>
      </c>
      <c r="I173" s="122">
        <f>((H105*(1-'5.Closing Stock &amp; W Capital'!$D$15))+(G105*'5.Closing Stock &amp; W Capital'!$D$15))*$C$152*I$124</f>
        <v>0.0</v>
      </c>
      <c r="J173" s="122">
        <f>((I105*(1-'5.Closing Stock &amp; W Capital'!$D$15))+(H105*'5.Closing Stock &amp; W Capital'!$D$15))*$C$152*J$124</f>
        <v>0.0</v>
      </c>
      <c r="K173" s="115"/>
      <c r="U173" s="115"/>
      <c r="V173" s="115"/>
      <c r="W173" s="115"/>
    </row>
    <row r="174" spans="8:8">
      <c r="A174" s="120">
        <f t="shared" si="53"/>
        <v>0.0</v>
      </c>
      <c r="B174" s="120"/>
      <c r="C174" s="121"/>
      <c r="D174" s="122">
        <f>(C106*(1-'5.Closing Stock &amp; W Capital'!$D$15))*$C174*D$124</f>
        <v>0.0</v>
      </c>
      <c r="E174" s="122">
        <f>((D106*(1-'5.Closing Stock &amp; W Capital'!$D$15))+(C106*'5.Closing Stock &amp; W Capital'!$D$15))*$C174*E$124</f>
        <v>0.0</v>
      </c>
      <c r="F174" s="122">
        <f>((E106*(1-'5.Closing Stock &amp; W Capital'!$D$15))+(D106*'5.Closing Stock &amp; W Capital'!$D$15))*$C$152*F$124</f>
        <v>0.0</v>
      </c>
      <c r="G174" s="122">
        <f>((F106*(1-'5.Closing Stock &amp; W Capital'!$D$15))+(E106*'5.Closing Stock &amp; W Capital'!$D$15))*$C$152*G$124</f>
        <v>0.0</v>
      </c>
      <c r="H174" s="122">
        <f>((G106*(1-'5.Closing Stock &amp; W Capital'!$D$15))+(F106*'5.Closing Stock &amp; W Capital'!$D$15))*$C$152*H$124</f>
        <v>0.0</v>
      </c>
      <c r="I174" s="122">
        <f>((H106*(1-'5.Closing Stock &amp; W Capital'!$D$15))+(G106*'5.Closing Stock &amp; W Capital'!$D$15))*$C$152*I$124</f>
        <v>0.0</v>
      </c>
      <c r="J174" s="122">
        <f>((I106*(1-'5.Closing Stock &amp; W Capital'!$D$15))+(H106*'5.Closing Stock &amp; W Capital'!$D$15))*$C$152*J$124</f>
        <v>0.0</v>
      </c>
      <c r="K174" s="115"/>
      <c r="U174" s="115"/>
      <c r="V174" s="115"/>
      <c r="W174" s="115"/>
    </row>
    <row r="175" spans="8:8">
      <c r="A175" s="120" t="str">
        <f t="shared" si="53"/>
        <v>Pomegranate</v>
      </c>
      <c r="B175" s="120"/>
      <c r="C175" s="121"/>
      <c r="D175" s="122">
        <f>(C107*(1-'5.Closing Stock &amp; W Capital'!$D$15))*$C175*D$124</f>
        <v>0.0</v>
      </c>
      <c r="E175" s="122">
        <f>((D107*(1-'5.Closing Stock &amp; W Capital'!$D$15))+(C107*'5.Closing Stock &amp; W Capital'!$D$15))*$C175*E$124</f>
        <v>0.0</v>
      </c>
      <c r="F175" s="122">
        <f>((E107*(1-'5.Closing Stock &amp; W Capital'!$D$15))+(D107*'5.Closing Stock &amp; W Capital'!$D$15))*$C$152*F$124</f>
        <v>0.0</v>
      </c>
      <c r="G175" s="122">
        <f>((F107*(1-'5.Closing Stock &amp; W Capital'!$D$15))+(E107*'5.Closing Stock &amp; W Capital'!$D$15))*$C$152*G$124</f>
        <v>0.0</v>
      </c>
      <c r="H175" s="122">
        <f>((G107*(1-'5.Closing Stock &amp; W Capital'!$D$15))+(F107*'5.Closing Stock &amp; W Capital'!$D$15))*$C$152*H$124</f>
        <v>0.0</v>
      </c>
      <c r="I175" s="122">
        <f>((H107*(1-'5.Closing Stock &amp; W Capital'!$D$15))+(G107*'5.Closing Stock &amp; W Capital'!$D$15))*$C$152*I$124</f>
        <v>0.0</v>
      </c>
      <c r="J175" s="122">
        <f>((I107*(1-'5.Closing Stock &amp; W Capital'!$D$15))+(H107*'5.Closing Stock &amp; W Capital'!$D$15))*$C$152*J$124</f>
        <v>0.0</v>
      </c>
      <c r="K175" s="115"/>
      <c r="U175" s="115"/>
      <c r="V175" s="115"/>
      <c r="W175" s="115"/>
    </row>
    <row r="176" spans="8:8">
      <c r="A176" s="120" t="str">
        <f t="shared" si="53"/>
        <v>Custard Apple</v>
      </c>
      <c r="B176" s="120"/>
      <c r="C176" s="121"/>
      <c r="D176" s="122">
        <f>(C108*(1-'5.Closing Stock &amp; W Capital'!$D$15))*$C176*D$124</f>
        <v>0.0</v>
      </c>
      <c r="E176" s="122">
        <f>((D108*(1-'5.Closing Stock &amp; W Capital'!$D$15))+(C108*'5.Closing Stock &amp; W Capital'!$D$15))*$C176*E$124</f>
        <v>0.0</v>
      </c>
      <c r="F176" s="122">
        <f>((E108*(1-'5.Closing Stock &amp; W Capital'!$D$15))+(D108*'5.Closing Stock &amp; W Capital'!$D$15))*$C$152*F$124</f>
        <v>0.0</v>
      </c>
      <c r="G176" s="122">
        <f>((F108*(1-'5.Closing Stock &amp; W Capital'!$D$15))+(E108*'5.Closing Stock &amp; W Capital'!$D$15))*$C$152*G$124</f>
        <v>0.0</v>
      </c>
      <c r="H176" s="122">
        <f>((G108*(1-'5.Closing Stock &amp; W Capital'!$D$15))+(F108*'5.Closing Stock &amp; W Capital'!$D$15))*$C$152*H$124</f>
        <v>0.0</v>
      </c>
      <c r="I176" s="122">
        <f>((H108*(1-'5.Closing Stock &amp; W Capital'!$D$15))+(G108*'5.Closing Stock &amp; W Capital'!$D$15))*$C$152*I$124</f>
        <v>0.0</v>
      </c>
      <c r="J176" s="122">
        <f>((I108*(1-'5.Closing Stock &amp; W Capital'!$D$15))+(H108*'5.Closing Stock &amp; W Capital'!$D$15))*$C$152*J$124</f>
        <v>0.0</v>
      </c>
      <c r="K176" s="115"/>
      <c r="U176" s="115"/>
      <c r="V176" s="115"/>
      <c r="W176" s="115"/>
    </row>
    <row r="177" spans="8:8">
      <c r="A177" s="120" t="str">
        <f t="shared" si="53"/>
        <v>Guava</v>
      </c>
      <c r="B177" s="120"/>
      <c r="C177" s="121"/>
      <c r="D177" s="122">
        <f>(C109*(1-'5.Closing Stock &amp; W Capital'!$D$15))*$C177*D$124</f>
        <v>0.0</v>
      </c>
      <c r="E177" s="122">
        <f>((D109*(1-'5.Closing Stock &amp; W Capital'!$D$15))+(C109*'5.Closing Stock &amp; W Capital'!$D$15))*$C177*E$124</f>
        <v>0.0</v>
      </c>
      <c r="F177" s="122">
        <f>((E109*(1-'5.Closing Stock &amp; W Capital'!$D$15))+(D109*'5.Closing Stock &amp; W Capital'!$D$15))*$C$152*F$124</f>
        <v>0.0</v>
      </c>
      <c r="G177" s="122">
        <f>((F109*(1-'5.Closing Stock &amp; W Capital'!$D$15))+(E109*'5.Closing Stock &amp; W Capital'!$D$15))*$C$152*G$124</f>
        <v>0.0</v>
      </c>
      <c r="H177" s="122">
        <f>((G109*(1-'5.Closing Stock &amp; W Capital'!$D$15))+(F109*'5.Closing Stock &amp; W Capital'!$D$15))*$C$152*H$124</f>
        <v>0.0</v>
      </c>
      <c r="I177" s="122">
        <f>((H109*(1-'5.Closing Stock &amp; W Capital'!$D$15))+(G109*'5.Closing Stock &amp; W Capital'!$D$15))*$C$152*I$124</f>
        <v>0.0</v>
      </c>
      <c r="J177" s="122">
        <f>((I109*(1-'5.Closing Stock &amp; W Capital'!$D$15))+(H109*'5.Closing Stock &amp; W Capital'!$D$15))*$C$152*J$124</f>
        <v>0.0</v>
      </c>
      <c r="K177" s="115"/>
      <c r="U177" s="115"/>
      <c r="V177" s="115"/>
      <c r="W177" s="115"/>
    </row>
    <row r="178" spans="8:8">
      <c r="A178" s="120" t="str">
        <f t="shared" si="53"/>
        <v>Citrus</v>
      </c>
      <c r="B178" s="120"/>
      <c r="C178" s="121"/>
      <c r="D178" s="122">
        <f>(C110*(1-'5.Closing Stock &amp; W Capital'!$D$15))*$C178*D$124</f>
        <v>0.0</v>
      </c>
      <c r="E178" s="122">
        <f>((D110*(1-'5.Closing Stock &amp; W Capital'!$D$15))+(C110*'5.Closing Stock &amp; W Capital'!$D$15))*$C178*E$124</f>
        <v>0.0</v>
      </c>
      <c r="F178" s="122">
        <f>((E110*(1-'5.Closing Stock &amp; W Capital'!$D$15))+(D110*'5.Closing Stock &amp; W Capital'!$D$15))*$C$152*F$124</f>
        <v>0.0</v>
      </c>
      <c r="G178" s="122">
        <f>((F110*(1-'5.Closing Stock &amp; W Capital'!$D$15))+(E110*'5.Closing Stock &amp; W Capital'!$D$15))*$C$152*G$124</f>
        <v>0.0</v>
      </c>
      <c r="H178" s="122">
        <f>((G110*(1-'5.Closing Stock &amp; W Capital'!$D$15))+(F110*'5.Closing Stock &amp; W Capital'!$D$15))*$C$152*H$124</f>
        <v>0.0</v>
      </c>
      <c r="I178" s="122">
        <f>((H110*(1-'5.Closing Stock &amp; W Capital'!$D$15))+(G110*'5.Closing Stock &amp; W Capital'!$D$15))*$C$152*I$124</f>
        <v>0.0</v>
      </c>
      <c r="J178" s="122">
        <f>((I110*(1-'5.Closing Stock &amp; W Capital'!$D$15))+(H110*'5.Closing Stock &amp; W Capital'!$D$15))*$C$152*J$124</f>
        <v>0.0</v>
      </c>
      <c r="K178" s="115"/>
      <c r="U178" s="115"/>
      <c r="V178" s="115"/>
      <c r="W178" s="115"/>
    </row>
    <row r="179" spans="8:8">
      <c r="A179" s="120">
        <f t="shared" si="53"/>
        <v>0.0</v>
      </c>
      <c r="B179" s="120"/>
      <c r="C179" s="121"/>
      <c r="D179" s="122"/>
      <c r="E179" s="122"/>
      <c r="F179" s="122"/>
      <c r="G179" s="122"/>
      <c r="H179" s="122"/>
      <c r="I179" s="122"/>
      <c r="J179" s="122"/>
      <c r="K179" s="115"/>
      <c r="U179" s="115"/>
      <c r="V179" s="115"/>
      <c r="W179" s="115"/>
    </row>
    <row r="180" spans="8:8">
      <c r="A180" s="120"/>
      <c r="B180" s="120"/>
      <c r="C180" s="122"/>
      <c r="D180" s="122"/>
      <c r="E180" s="122"/>
      <c r="F180" s="122"/>
      <c r="G180" s="122"/>
      <c r="H180" s="122"/>
      <c r="I180" s="122"/>
      <c r="J180" s="122"/>
      <c r="K180" s="115"/>
      <c r="U180" s="115"/>
      <c r="V180" s="115"/>
      <c r="W180" s="115"/>
    </row>
    <row r="181" spans="8:8">
      <c r="A181" s="120" t="s">
        <v>289</v>
      </c>
      <c r="B181" s="120"/>
      <c r="C181" s="122"/>
      <c r="D181" s="122"/>
      <c r="E181" s="122"/>
      <c r="F181" s="122"/>
      <c r="G181" s="122"/>
      <c r="H181" s="122"/>
      <c r="I181" s="122"/>
      <c r="J181" s="122"/>
      <c r="K181" s="115"/>
      <c r="U181" s="115"/>
      <c r="V181" s="115"/>
      <c r="W181" s="115"/>
    </row>
    <row r="182" spans="8:8">
      <c r="A182" s="120" t="s">
        <v>415</v>
      </c>
      <c r="B182" s="120"/>
      <c r="C182" s="121">
        <f>350/50</f>
        <v>7.0</v>
      </c>
      <c r="D182" s="122">
        <f>(C114*(1-'5.Closing Stock &amp; W Capital'!$D$15))*$C$182*D124</f>
        <v>0.0</v>
      </c>
      <c r="E182" s="122">
        <f>((D114*(1-'5.Closing Stock &amp; W Capital'!$D$15))+(C114*'5.Closing Stock &amp; W Capital'!$D$15))*$C$182*E124</f>
        <v>0.0</v>
      </c>
      <c r="F182" s="122">
        <f>((E114*(1-'5.Closing Stock &amp; W Capital'!$D$15))+(D114*'5.Closing Stock &amp; W Capital'!$D$15))*$C$182*F124</f>
        <v>0.0</v>
      </c>
      <c r="G182" s="122">
        <f>((F114*(1-'5.Closing Stock &amp; W Capital'!$D$15))+(E114*'5.Closing Stock &amp; W Capital'!$D$15))*$C$182*G124</f>
        <v>0.0</v>
      </c>
      <c r="H182" s="122">
        <f>((G114*(1-'5.Closing Stock &amp; W Capital'!$D$15))+(F114*'5.Closing Stock &amp; W Capital'!$D$15))*$C$182*H124</f>
        <v>0.0</v>
      </c>
      <c r="I182" s="122">
        <f>((H114*(1-'5.Closing Stock &amp; W Capital'!$D$15))+(G114*'5.Closing Stock &amp; W Capital'!$D$15))*$C$182*I124</f>
        <v>0.0</v>
      </c>
      <c r="J182" s="122">
        <f>((I114*(1-'5.Closing Stock &amp; W Capital'!$D$15))+(H114*'5.Closing Stock &amp; W Capital'!$D$15))*$C$182*J124</f>
        <v>0.0</v>
      </c>
      <c r="K182" s="115"/>
      <c r="U182" s="115"/>
      <c r="V182" s="115"/>
      <c r="W182" s="115"/>
    </row>
    <row r="183" spans="8:8">
      <c r="A183" s="120" t="s">
        <v>179</v>
      </c>
      <c r="B183" s="120"/>
      <c r="C183" s="121">
        <v>8.0</v>
      </c>
      <c r="D183" s="122">
        <f>(C115*(1-'5.Closing Stock &amp; W Capital'!$D$15))*$C$183*D124</f>
        <v>0.0</v>
      </c>
      <c r="E183" s="122">
        <f>((D115*(1-'5.Closing Stock &amp; W Capital'!$D$15))+(C115*'5.Closing Stock &amp; W Capital'!$D$15))*$C$183*E124</f>
        <v>0.0</v>
      </c>
      <c r="F183" s="122">
        <f>((E115*(1-'5.Closing Stock &amp; W Capital'!$D$15))+(D115*'5.Closing Stock &amp; W Capital'!$D$15))*$C$183*F124</f>
        <v>0.0</v>
      </c>
      <c r="G183" s="122">
        <f>((F115*(1-'5.Closing Stock &amp; W Capital'!$D$15))+(E115*'5.Closing Stock &amp; W Capital'!$D$15))*$C$183*G124</f>
        <v>0.0</v>
      </c>
      <c r="H183" s="122">
        <f>((G115*(1-'5.Closing Stock &amp; W Capital'!$D$15))+(F115*'5.Closing Stock &amp; W Capital'!$D$15))*$C$183*H124</f>
        <v>0.0</v>
      </c>
      <c r="I183" s="122">
        <f>((H115*(1-'5.Closing Stock &amp; W Capital'!$D$15))+(G115*'5.Closing Stock &amp; W Capital'!$D$15))*$C$183*I124</f>
        <v>0.0</v>
      </c>
      <c r="J183" s="122">
        <f>((I115*(1-'5.Closing Stock &amp; W Capital'!$D$15))+(H115*'5.Closing Stock &amp; W Capital'!$D$15))*$C$183*J124</f>
        <v>0.0</v>
      </c>
      <c r="K183" s="115"/>
      <c r="U183" s="115"/>
      <c r="V183" s="115"/>
      <c r="W183" s="115"/>
    </row>
    <row r="184" spans="8:8">
      <c r="A184" s="120" t="s">
        <v>181</v>
      </c>
      <c r="B184" s="120"/>
      <c r="C184" s="121">
        <v>30.0</v>
      </c>
      <c r="D184" s="122">
        <f>(C116*(1-'5.Closing Stock &amp; W Capital'!$D$15))*$C$184*D124</f>
        <v>0.0</v>
      </c>
      <c r="E184" s="122">
        <f>((D116*(1-'5.Closing Stock &amp; W Capital'!$D$15))+(C116*'5.Closing Stock &amp; W Capital'!$D$15))*$C$184*E124</f>
        <v>0.0</v>
      </c>
      <c r="F184" s="122">
        <f>((E116*(1-'5.Closing Stock &amp; W Capital'!$D$15))+(D116*'5.Closing Stock &amp; W Capital'!$D$15))*$C$184*F124</f>
        <v>0.0</v>
      </c>
      <c r="G184" s="122">
        <f>((F116*(1-'5.Closing Stock &amp; W Capital'!$D$15))+(E116*'5.Closing Stock &amp; W Capital'!$D$15))*$C$184*G124</f>
        <v>0.0</v>
      </c>
      <c r="H184" s="122">
        <f>((G116*(1-'5.Closing Stock &amp; W Capital'!$D$15))+(F116*'5.Closing Stock &amp; W Capital'!$D$15))*$C$184*H124</f>
        <v>0.0</v>
      </c>
      <c r="I184" s="122">
        <f>((H116*(1-'5.Closing Stock &amp; W Capital'!$D$15))+(G116*'5.Closing Stock &amp; W Capital'!$D$15))*$C$184*I124</f>
        <v>0.0</v>
      </c>
      <c r="J184" s="122">
        <f>((I116*(1-'5.Closing Stock &amp; W Capital'!$D$15))+(H116*'5.Closing Stock &amp; W Capital'!$D$15))*$C$184*J124</f>
        <v>0.0</v>
      </c>
      <c r="K184" s="115"/>
      <c r="U184" s="115"/>
      <c r="V184" s="115"/>
      <c r="W184" s="115"/>
    </row>
    <row r="185" spans="8:8">
      <c r="A185" s="120"/>
      <c r="B185" s="120"/>
      <c r="C185" s="122"/>
      <c r="D185" s="122"/>
      <c r="E185" s="122"/>
      <c r="F185" s="122"/>
      <c r="G185" s="122"/>
      <c r="H185" s="122"/>
      <c r="I185" s="122"/>
      <c r="J185" s="122"/>
      <c r="K185" s="115"/>
      <c r="U185" s="115"/>
      <c r="V185" s="115"/>
      <c r="W185" s="115"/>
    </row>
    <row r="186" spans="8:8">
      <c r="A186" s="120" t="s">
        <v>180</v>
      </c>
      <c r="B186" s="120"/>
      <c r="C186" s="122"/>
      <c r="D186" s="122"/>
      <c r="E186" s="122"/>
      <c r="F186" s="122"/>
      <c r="G186" s="122"/>
      <c r="H186" s="122"/>
      <c r="I186" s="122"/>
      <c r="J186" s="122"/>
      <c r="K186" s="115"/>
      <c r="U186" s="115"/>
      <c r="V186" s="115"/>
      <c r="W186" s="115"/>
    </row>
    <row r="187" spans="8:8">
      <c r="A187" s="120" t="s">
        <v>186</v>
      </c>
      <c r="B187" s="120"/>
      <c r="C187" s="121">
        <v>3000.0</v>
      </c>
      <c r="D187" s="122">
        <f>(C118*(1-'5.Closing Stock &amp; W Capital'!$D$15))*$C$187*D124</f>
        <v>0.0</v>
      </c>
      <c r="E187" s="122">
        <f>((D118*(1-'5.Closing Stock &amp; W Capital'!$D$15))+(C118*'5.Closing Stock &amp; W Capital'!$D$15))*$C$187*E124</f>
        <v>0.0</v>
      </c>
      <c r="F187" s="122">
        <f>((E118*(1-'5.Closing Stock &amp; W Capital'!$D$15))+(D118*'5.Closing Stock &amp; W Capital'!$D$15))*$C$187*F124</f>
        <v>0.0</v>
      </c>
      <c r="G187" s="122">
        <f>((F118*(1-'5.Closing Stock &amp; W Capital'!$D$15))+(E118*'5.Closing Stock &amp; W Capital'!$D$15))*$C$187*G124</f>
        <v>0.0</v>
      </c>
      <c r="H187" s="122">
        <f>((G118*(1-'5.Closing Stock &amp; W Capital'!$D$15))+(F118*'5.Closing Stock &amp; W Capital'!$D$15))*$C$187*H124</f>
        <v>0.0</v>
      </c>
      <c r="I187" s="122">
        <f>((H118*(1-'5.Closing Stock &amp; W Capital'!$D$15))+(G118*'5.Closing Stock &amp; W Capital'!$D$15))*$C$187*I124</f>
        <v>0.0</v>
      </c>
      <c r="J187" s="122">
        <f>((I118*(1-'5.Closing Stock &amp; W Capital'!$D$15))+(H118*'5.Closing Stock &amp; W Capital'!$D$15))*$C$187*J124</f>
        <v>0.0</v>
      </c>
      <c r="K187" s="115"/>
      <c r="U187" s="478"/>
      <c r="V187" s="478"/>
      <c r="W187" s="478"/>
    </row>
    <row r="188" spans="8:8">
      <c r="A188" s="120" t="s">
        <v>187</v>
      </c>
      <c r="B188" s="120"/>
      <c r="C188" s="121">
        <v>2200.0</v>
      </c>
      <c r="D188" s="122">
        <f>(C119*(1-'5.Closing Stock &amp; W Capital'!$D$15))*$C$188*D124</f>
        <v>0.0</v>
      </c>
      <c r="E188" s="122">
        <f>((D119*(1-'5.Closing Stock &amp; W Capital'!$D$15))+(C119*'5.Closing Stock &amp; W Capital'!$D$15))*$C$188*E124</f>
        <v>0.0</v>
      </c>
      <c r="F188" s="122">
        <f>((E119*(1-'5.Closing Stock &amp; W Capital'!$D$15))+(D119*'5.Closing Stock &amp; W Capital'!$D$15))*$C$188*F124</f>
        <v>0.0</v>
      </c>
      <c r="G188" s="122">
        <f>((F119*(1-'5.Closing Stock &amp; W Capital'!$D$15))+(E119*'5.Closing Stock &amp; W Capital'!$D$15))*$C$188*G124</f>
        <v>0.0</v>
      </c>
      <c r="H188" s="122">
        <f>((G119*(1-'5.Closing Stock &amp; W Capital'!$D$15))+(F119*'5.Closing Stock &amp; W Capital'!$D$15))*$C$188*H124</f>
        <v>0.0</v>
      </c>
      <c r="I188" s="122">
        <f>((H119*(1-'5.Closing Stock &amp; W Capital'!$D$15))+(G119*'5.Closing Stock &amp; W Capital'!$D$15))*$C$188*I124</f>
        <v>0.0</v>
      </c>
      <c r="J188" s="122">
        <f>((I119*(1-'5.Closing Stock &amp; W Capital'!$D$15))+(H119*'5.Closing Stock &amp; W Capital'!$D$15))*$C$188*J124</f>
        <v>0.0</v>
      </c>
      <c r="K188" s="115"/>
      <c r="U188" s="115"/>
      <c r="V188" s="115"/>
      <c r="W188" s="115"/>
    </row>
    <row r="189" spans="8:8">
      <c r="A189" s="120"/>
      <c r="B189" s="120"/>
      <c r="C189" s="122"/>
      <c r="D189" s="122"/>
      <c r="E189" s="122"/>
      <c r="F189" s="122"/>
      <c r="G189" s="122"/>
      <c r="H189" s="122"/>
      <c r="I189" s="122"/>
      <c r="J189" s="122"/>
      <c r="K189" s="115"/>
      <c r="U189" s="115"/>
      <c r="V189" s="115"/>
      <c r="W189" s="115"/>
    </row>
    <row r="190" spans="8:8">
      <c r="A190" s="120"/>
      <c r="B190" s="120"/>
      <c r="C190" s="122"/>
      <c r="D190" s="122"/>
      <c r="E190" s="122"/>
      <c r="F190" s="122"/>
      <c r="G190" s="122"/>
      <c r="H190" s="122"/>
      <c r="I190" s="122"/>
      <c r="J190" s="122"/>
      <c r="K190" s="115"/>
      <c r="U190" s="115"/>
      <c r="V190" s="115"/>
      <c r="W190" s="115"/>
    </row>
    <row r="191" spans="8:8">
      <c r="A191" s="123" t="s">
        <v>144</v>
      </c>
      <c r="B191" s="123"/>
      <c r="C191" s="124"/>
      <c r="D191" s="124">
        <f t="shared" si="54" ref="D191:J191">SUM(D130:D188)</f>
        <v>0.0</v>
      </c>
      <c r="E191" s="124">
        <f t="shared" si="54"/>
        <v>0.0</v>
      </c>
      <c r="F191" s="124">
        <f t="shared" si="54"/>
        <v>0.0</v>
      </c>
      <c r="G191" s="124">
        <f t="shared" si="54"/>
        <v>0.0</v>
      </c>
      <c r="H191" s="124">
        <f t="shared" si="54"/>
        <v>0.0</v>
      </c>
      <c r="I191" s="124">
        <f t="shared" si="54"/>
        <v>0.0</v>
      </c>
      <c r="J191" s="124">
        <f t="shared" si="54"/>
        <v>0.0</v>
      </c>
      <c r="K191" s="115"/>
      <c r="U191" s="115"/>
      <c r="V191" s="115"/>
      <c r="W191" s="115"/>
    </row>
    <row r="192" spans="8:8">
      <c r="A192" s="120"/>
      <c r="B192" s="120"/>
      <c r="C192" s="122"/>
      <c r="D192" s="122"/>
      <c r="E192" s="122"/>
      <c r="F192" s="122"/>
      <c r="G192" s="122"/>
      <c r="H192" s="122"/>
      <c r="I192" s="122"/>
      <c r="J192" s="122"/>
      <c r="K192" s="115"/>
      <c r="U192" s="115"/>
      <c r="V192" s="115"/>
      <c r="W192" s="115"/>
    </row>
    <row r="193" spans="8:8">
      <c r="A193" s="120"/>
      <c r="B193" s="120"/>
      <c r="C193" s="122"/>
      <c r="D193" s="122"/>
      <c r="E193" s="122"/>
      <c r="F193" s="122"/>
      <c r="G193" s="122"/>
      <c r="H193" s="122"/>
      <c r="I193" s="122"/>
      <c r="J193" s="122"/>
      <c r="K193" s="115"/>
      <c r="U193" s="115"/>
      <c r="V193" s="115"/>
      <c r="W193" s="115"/>
    </row>
    <row r="194" spans="8:8">
      <c r="A194" s="123" t="s">
        <v>143</v>
      </c>
      <c r="B194" s="123"/>
      <c r="C194" s="122"/>
      <c r="D194" s="122"/>
      <c r="E194" s="122"/>
      <c r="F194" s="122"/>
      <c r="G194" s="122"/>
      <c r="H194" s="122"/>
      <c r="I194" s="122"/>
      <c r="J194" s="122"/>
      <c r="K194" s="115"/>
      <c r="U194" s="115"/>
      <c r="V194" s="115"/>
      <c r="W194" s="115"/>
    </row>
    <row r="195" spans="8:8">
      <c r="A195" s="123" t="str">
        <f>A128</f>
        <v>Seeds (Rate/KG)</v>
      </c>
      <c r="B195" s="123"/>
      <c r="C195" s="122"/>
      <c r="D195" s="122"/>
      <c r="E195" s="122"/>
      <c r="F195" s="122"/>
      <c r="G195" s="122"/>
      <c r="H195" s="122"/>
      <c r="I195" s="122"/>
      <c r="J195" s="122"/>
      <c r="K195" s="115"/>
      <c r="U195" s="115"/>
      <c r="V195" s="115"/>
      <c r="W195" s="115"/>
    </row>
    <row r="196" spans="8:8">
      <c r="A196" s="115" t="s">
        <v>314</v>
      </c>
      <c r="B196" s="115"/>
      <c r="C196" s="115"/>
      <c r="D196" s="115"/>
      <c r="E196" s="115"/>
      <c r="F196" s="115"/>
      <c r="G196" s="115"/>
      <c r="H196" s="115"/>
      <c r="I196" s="115"/>
      <c r="J196" s="115"/>
      <c r="K196" s="115"/>
      <c r="U196" s="115"/>
      <c r="V196" s="115"/>
      <c r="W196" s="115"/>
    </row>
    <row r="197" spans="8:8">
      <c r="A197" s="120" t="str">
        <f t="shared" si="55" ref="A197:A238">A130</f>
        <v>Soybean</v>
      </c>
      <c r="B197" s="115"/>
      <c r="C197" s="121">
        <v>85.0</v>
      </c>
      <c r="D197" s="122">
        <f t="shared" si="56" ref="D197:J206">C62*$C197*D$124</f>
        <v>0.0</v>
      </c>
      <c r="E197" s="122">
        <f t="shared" si="56"/>
        <v>0.0</v>
      </c>
      <c r="F197" s="122">
        <f t="shared" si="56"/>
        <v>0.0</v>
      </c>
      <c r="G197" s="122">
        <f t="shared" si="56"/>
        <v>0.0</v>
      </c>
      <c r="H197" s="122">
        <f t="shared" si="56"/>
        <v>0.0</v>
      </c>
      <c r="I197" s="122">
        <f t="shared" si="56"/>
        <v>0.0</v>
      </c>
      <c r="J197" s="122">
        <f t="shared" si="56"/>
        <v>0.0</v>
      </c>
      <c r="K197" s="115"/>
      <c r="U197" s="115"/>
      <c r="V197" s="115"/>
      <c r="W197" s="115"/>
    </row>
    <row r="198" spans="8:8">
      <c r="A198" s="120" t="str">
        <f t="shared" si="55"/>
        <v>Red Gram/Tur</v>
      </c>
      <c r="B198" s="120"/>
      <c r="C198" s="121">
        <v>75.0</v>
      </c>
      <c r="D198" s="122">
        <f t="shared" si="56"/>
        <v>0.0</v>
      </c>
      <c r="E198" s="122">
        <f t="shared" si="56"/>
        <v>0.0</v>
      </c>
      <c r="F198" s="122">
        <f t="shared" si="56"/>
        <v>0.0</v>
      </c>
      <c r="G198" s="122">
        <f t="shared" si="56"/>
        <v>0.0</v>
      </c>
      <c r="H198" s="122">
        <f t="shared" si="56"/>
        <v>0.0</v>
      </c>
      <c r="I198" s="122">
        <f t="shared" si="56"/>
        <v>0.0</v>
      </c>
      <c r="J198" s="122">
        <f t="shared" si="56"/>
        <v>0.0</v>
      </c>
      <c r="K198" s="115"/>
      <c r="U198" s="115"/>
      <c r="V198" s="115"/>
      <c r="W198" s="115"/>
    </row>
    <row r="199" spans="8:8">
      <c r="A199" s="120" t="str">
        <f t="shared" si="55"/>
        <v>Paddy/Rice</v>
      </c>
      <c r="B199" s="120"/>
      <c r="C199" s="121">
        <v>57.0</v>
      </c>
      <c r="D199" s="122">
        <f t="shared" si="56"/>
        <v>0.0</v>
      </c>
      <c r="E199" s="122">
        <f t="shared" si="56"/>
        <v>0.0</v>
      </c>
      <c r="F199" s="122">
        <f t="shared" si="56"/>
        <v>0.0</v>
      </c>
      <c r="G199" s="122">
        <f t="shared" si="56"/>
        <v>0.0</v>
      </c>
      <c r="H199" s="122">
        <f t="shared" si="56"/>
        <v>0.0</v>
      </c>
      <c r="I199" s="122">
        <f t="shared" si="56"/>
        <v>0.0</v>
      </c>
      <c r="J199" s="122">
        <f t="shared" si="56"/>
        <v>0.0</v>
      </c>
      <c r="K199" s="115"/>
      <c r="U199" s="115"/>
      <c r="V199" s="115"/>
      <c r="W199" s="115"/>
    </row>
    <row r="200" spans="8:8">
      <c r="A200" s="120" t="str">
        <f t="shared" si="55"/>
        <v>Green Gram/ Moong</v>
      </c>
      <c r="B200" s="120"/>
      <c r="C200" s="121">
        <v>80.0</v>
      </c>
      <c r="D200" s="122">
        <f t="shared" si="56"/>
        <v>0.0</v>
      </c>
      <c r="E200" s="122">
        <f t="shared" si="56"/>
        <v>0.0</v>
      </c>
      <c r="F200" s="122">
        <f t="shared" si="56"/>
        <v>0.0</v>
      </c>
      <c r="G200" s="122">
        <f t="shared" si="56"/>
        <v>0.0</v>
      </c>
      <c r="H200" s="122">
        <f t="shared" si="56"/>
        <v>0.0</v>
      </c>
      <c r="I200" s="122">
        <f t="shared" si="56"/>
        <v>0.0</v>
      </c>
      <c r="J200" s="122">
        <f t="shared" si="56"/>
        <v>0.0</v>
      </c>
      <c r="K200" s="115"/>
      <c r="L200" s="115"/>
      <c r="M200" s="115"/>
      <c r="N200" s="115"/>
      <c r="O200" s="115"/>
      <c r="P200" s="115"/>
      <c r="Q200" s="115"/>
      <c r="R200" s="115"/>
      <c r="S200" s="115"/>
      <c r="T200" s="115"/>
      <c r="U200" s="115"/>
      <c r="V200" s="115"/>
      <c r="W200" s="115"/>
    </row>
    <row r="201" spans="8:8">
      <c r="A201" s="120" t="str">
        <f t="shared" si="55"/>
        <v>Maize</v>
      </c>
      <c r="B201" s="120"/>
      <c r="C201" s="121">
        <v>25.0</v>
      </c>
      <c r="D201" s="122">
        <f t="shared" si="56"/>
        <v>0.0</v>
      </c>
      <c r="E201" s="122">
        <f t="shared" si="56"/>
        <v>0.0</v>
      </c>
      <c r="F201" s="122">
        <f t="shared" si="56"/>
        <v>0.0</v>
      </c>
      <c r="G201" s="122">
        <f t="shared" si="56"/>
        <v>0.0</v>
      </c>
      <c r="H201" s="122">
        <f t="shared" si="56"/>
        <v>0.0</v>
      </c>
      <c r="I201" s="122">
        <f t="shared" si="56"/>
        <v>0.0</v>
      </c>
      <c r="J201" s="122">
        <f t="shared" si="56"/>
        <v>0.0</v>
      </c>
      <c r="K201" s="115"/>
      <c r="L201" s="115"/>
      <c r="M201" s="115"/>
      <c r="N201" s="115"/>
      <c r="O201" s="115"/>
      <c r="P201" s="115"/>
      <c r="Q201" s="115"/>
      <c r="R201" s="115"/>
      <c r="S201" s="115"/>
      <c r="T201" s="115"/>
      <c r="U201" s="115"/>
      <c r="V201" s="115"/>
      <c r="W201" s="115"/>
    </row>
    <row r="202" spans="8:8">
      <c r="A202" s="120" t="str">
        <f t="shared" si="55"/>
        <v>Black Gram/Udid</v>
      </c>
      <c r="B202" s="120"/>
      <c r="C202" s="121">
        <v>70.0</v>
      </c>
      <c r="D202" s="122">
        <f t="shared" si="56"/>
        <v>0.0</v>
      </c>
      <c r="E202" s="122">
        <f t="shared" si="56"/>
        <v>0.0</v>
      </c>
      <c r="F202" s="122">
        <f t="shared" si="56"/>
        <v>0.0</v>
      </c>
      <c r="G202" s="122">
        <f t="shared" si="56"/>
        <v>0.0</v>
      </c>
      <c r="H202" s="122">
        <f t="shared" si="56"/>
        <v>0.0</v>
      </c>
      <c r="I202" s="122">
        <f t="shared" si="56"/>
        <v>0.0</v>
      </c>
      <c r="J202" s="122">
        <f t="shared" si="56"/>
        <v>0.0</v>
      </c>
      <c r="K202" s="115"/>
      <c r="L202" s="115"/>
      <c r="M202" s="115"/>
      <c r="N202" s="115"/>
      <c r="O202" s="115"/>
      <c r="P202" s="115"/>
      <c r="Q202" s="115"/>
      <c r="R202" s="115"/>
      <c r="S202" s="115"/>
      <c r="T202" s="115"/>
      <c r="U202" s="115"/>
      <c r="V202" s="115"/>
      <c r="W202" s="115"/>
    </row>
    <row r="203" spans="8:8">
      <c r="A203" s="120" t="str">
        <f t="shared" si="55"/>
        <v>Bajra</v>
      </c>
      <c r="B203" s="120"/>
      <c r="C203" s="121">
        <v>25.0</v>
      </c>
      <c r="D203" s="122">
        <f t="shared" si="56"/>
        <v>0.0</v>
      </c>
      <c r="E203" s="122">
        <f t="shared" si="56"/>
        <v>0.0</v>
      </c>
      <c r="F203" s="122">
        <f t="shared" si="56"/>
        <v>0.0</v>
      </c>
      <c r="G203" s="122">
        <f t="shared" si="56"/>
        <v>0.0</v>
      </c>
      <c r="H203" s="122">
        <f t="shared" si="56"/>
        <v>0.0</v>
      </c>
      <c r="I203" s="122">
        <f t="shared" si="56"/>
        <v>0.0</v>
      </c>
      <c r="J203" s="122">
        <f t="shared" si="56"/>
        <v>0.0</v>
      </c>
      <c r="K203" s="115"/>
      <c r="L203" s="115"/>
      <c r="M203" s="115"/>
      <c r="N203" s="115"/>
      <c r="O203" s="115"/>
      <c r="P203" s="115"/>
      <c r="Q203" s="115"/>
      <c r="R203" s="115"/>
      <c r="S203" s="115"/>
      <c r="T203" s="115"/>
      <c r="U203" s="115"/>
      <c r="V203" s="115"/>
      <c r="W203" s="115"/>
    </row>
    <row r="204" spans="8:8">
      <c r="A204" s="120" t="str">
        <f t="shared" si="55"/>
        <v>Jawar</v>
      </c>
      <c r="B204" s="120"/>
      <c r="C204" s="121">
        <v>25.0</v>
      </c>
      <c r="D204" s="122">
        <f t="shared" si="56"/>
        <v>0.0</v>
      </c>
      <c r="E204" s="122">
        <f t="shared" si="56"/>
        <v>0.0</v>
      </c>
      <c r="F204" s="122">
        <f t="shared" si="56"/>
        <v>0.0</v>
      </c>
      <c r="G204" s="122">
        <f t="shared" si="56"/>
        <v>0.0</v>
      </c>
      <c r="H204" s="122">
        <f t="shared" si="56"/>
        <v>0.0</v>
      </c>
      <c r="I204" s="122">
        <f t="shared" si="56"/>
        <v>0.0</v>
      </c>
      <c r="J204" s="122">
        <f t="shared" si="56"/>
        <v>0.0</v>
      </c>
      <c r="K204" s="115"/>
      <c r="L204" s="115"/>
      <c r="M204" s="115"/>
      <c r="N204" s="115"/>
      <c r="O204" s="115"/>
      <c r="P204" s="115"/>
      <c r="Q204" s="115"/>
      <c r="R204" s="115"/>
      <c r="S204" s="115"/>
      <c r="T204" s="115"/>
      <c r="U204" s="115"/>
      <c r="V204" s="115"/>
      <c r="W204" s="115"/>
    </row>
    <row r="205" spans="8:8">
      <c r="A205" s="123" t="str">
        <f t="shared" si="55"/>
        <v>Rabi Crop</v>
      </c>
      <c r="B205" s="120"/>
      <c r="C205" s="121"/>
      <c r="D205" s="122">
        <f t="shared" si="56"/>
        <v>0.0</v>
      </c>
      <c r="E205" s="122">
        <f t="shared" si="56"/>
        <v>0.0</v>
      </c>
      <c r="F205" s="122">
        <f t="shared" si="56"/>
        <v>0.0</v>
      </c>
      <c r="G205" s="122">
        <f t="shared" si="56"/>
        <v>0.0</v>
      </c>
      <c r="H205" s="122">
        <f t="shared" si="56"/>
        <v>0.0</v>
      </c>
      <c r="I205" s="122">
        <f t="shared" si="56"/>
        <v>0.0</v>
      </c>
      <c r="J205" s="122">
        <f t="shared" si="56"/>
        <v>0.0</v>
      </c>
      <c r="K205" s="115"/>
      <c r="L205" s="115"/>
      <c r="M205" s="115"/>
      <c r="N205" s="115"/>
      <c r="O205" s="115"/>
      <c r="P205" s="115"/>
      <c r="Q205" s="115"/>
      <c r="R205" s="115"/>
      <c r="S205" s="115"/>
      <c r="T205" s="115"/>
      <c r="U205" s="115"/>
      <c r="V205" s="115"/>
      <c r="W205" s="115"/>
    </row>
    <row r="206" spans="8:8">
      <c r="A206" s="120" t="str">
        <f t="shared" si="55"/>
        <v>Wheat</v>
      </c>
      <c r="B206" s="120"/>
      <c r="C206" s="121">
        <v>35.0</v>
      </c>
      <c r="D206" s="122">
        <f t="shared" si="56"/>
        <v>0.0</v>
      </c>
      <c r="E206" s="122">
        <f t="shared" si="56"/>
        <v>0.0</v>
      </c>
      <c r="F206" s="122">
        <f t="shared" si="56"/>
        <v>0.0</v>
      </c>
      <c r="G206" s="122">
        <f t="shared" si="56"/>
        <v>0.0</v>
      </c>
      <c r="H206" s="122">
        <f t="shared" si="56"/>
        <v>0.0</v>
      </c>
      <c r="I206" s="122">
        <f t="shared" si="56"/>
        <v>0.0</v>
      </c>
      <c r="J206" s="122">
        <f t="shared" si="56"/>
        <v>0.0</v>
      </c>
      <c r="K206" s="115"/>
      <c r="L206" s="115"/>
      <c r="M206" s="115"/>
      <c r="N206" s="115"/>
      <c r="O206" s="115"/>
      <c r="P206" s="115"/>
      <c r="Q206" s="115"/>
      <c r="R206" s="115"/>
      <c r="S206" s="115"/>
      <c r="T206" s="115"/>
      <c r="U206" s="115"/>
      <c r="V206" s="115"/>
      <c r="W206" s="115"/>
    </row>
    <row r="207" spans="8:8">
      <c r="A207" s="120" t="str">
        <f t="shared" si="55"/>
        <v>Bengal Gram/Channa</v>
      </c>
      <c r="B207" s="120"/>
      <c r="C207" s="121">
        <v>70.0</v>
      </c>
      <c r="D207" s="122">
        <f t="shared" si="57" ref="D207:J216">C72*$C207*D$124</f>
        <v>0.0</v>
      </c>
      <c r="E207" s="122">
        <f t="shared" si="57"/>
        <v>0.0</v>
      </c>
      <c r="F207" s="122">
        <f t="shared" si="57"/>
        <v>0.0</v>
      </c>
      <c r="G207" s="122">
        <f t="shared" si="57"/>
        <v>0.0</v>
      </c>
      <c r="H207" s="122">
        <f t="shared" si="57"/>
        <v>0.0</v>
      </c>
      <c r="I207" s="122">
        <f t="shared" si="57"/>
        <v>0.0</v>
      </c>
      <c r="J207" s="122">
        <f t="shared" si="57"/>
        <v>0.0</v>
      </c>
      <c r="K207" s="115"/>
      <c r="L207" s="115"/>
      <c r="M207" s="115"/>
      <c r="N207" s="115"/>
      <c r="O207" s="115"/>
      <c r="P207" s="115"/>
      <c r="Q207" s="115"/>
      <c r="R207" s="115"/>
      <c r="S207" s="115"/>
      <c r="T207" s="115"/>
      <c r="U207" s="115"/>
      <c r="V207" s="115"/>
      <c r="W207" s="115"/>
    </row>
    <row r="208" spans="8:8">
      <c r="A208" s="120" t="str">
        <f t="shared" si="55"/>
        <v>Jawar</v>
      </c>
      <c r="B208" s="120"/>
      <c r="C208" s="121">
        <v>25.0</v>
      </c>
      <c r="D208" s="122">
        <f t="shared" si="57"/>
        <v>0.0</v>
      </c>
      <c r="E208" s="122">
        <f t="shared" si="57"/>
        <v>0.0</v>
      </c>
      <c r="F208" s="122">
        <f t="shared" si="57"/>
        <v>0.0</v>
      </c>
      <c r="G208" s="122">
        <f t="shared" si="57"/>
        <v>0.0</v>
      </c>
      <c r="H208" s="122">
        <f t="shared" si="57"/>
        <v>0.0</v>
      </c>
      <c r="I208" s="122">
        <f t="shared" si="57"/>
        <v>0.0</v>
      </c>
      <c r="J208" s="122">
        <f t="shared" si="57"/>
        <v>0.0</v>
      </c>
      <c r="K208" s="115"/>
      <c r="L208" s="115"/>
      <c r="M208" s="115"/>
      <c r="N208" s="115"/>
      <c r="O208" s="115"/>
      <c r="P208" s="115"/>
      <c r="Q208" s="115"/>
      <c r="R208" s="115"/>
      <c r="S208" s="115"/>
      <c r="T208" s="115"/>
      <c r="U208" s="115"/>
      <c r="V208" s="115"/>
      <c r="W208" s="115"/>
    </row>
    <row r="209" spans="8:8">
      <c r="A209" s="120" t="str">
        <f t="shared" si="55"/>
        <v>Maize</v>
      </c>
      <c r="B209" s="120"/>
      <c r="C209" s="121">
        <v>25.0</v>
      </c>
      <c r="D209" s="122">
        <f t="shared" si="57"/>
        <v>0.0</v>
      </c>
      <c r="E209" s="122">
        <f t="shared" si="57"/>
        <v>0.0</v>
      </c>
      <c r="F209" s="122">
        <f t="shared" si="57"/>
        <v>0.0</v>
      </c>
      <c r="G209" s="122">
        <f t="shared" si="57"/>
        <v>0.0</v>
      </c>
      <c r="H209" s="122">
        <f t="shared" si="57"/>
        <v>0.0</v>
      </c>
      <c r="I209" s="122">
        <f t="shared" si="57"/>
        <v>0.0</v>
      </c>
      <c r="J209" s="122">
        <f t="shared" si="57"/>
        <v>0.0</v>
      </c>
      <c r="K209" s="115"/>
      <c r="L209" s="115"/>
      <c r="M209" s="115"/>
      <c r="N209" s="115"/>
      <c r="O209" s="115"/>
      <c r="P209" s="115"/>
      <c r="Q209" s="115"/>
      <c r="R209" s="115"/>
      <c r="S209" s="115"/>
      <c r="T209" s="115"/>
      <c r="U209" s="115"/>
      <c r="V209" s="115"/>
      <c r="W209" s="115"/>
    </row>
    <row r="210" spans="8:8">
      <c r="A210" s="120" t="str">
        <f t="shared" si="55"/>
        <v>Safflower</v>
      </c>
      <c r="B210" s="120"/>
      <c r="C210" s="121">
        <v>25.0</v>
      </c>
      <c r="D210" s="122">
        <f t="shared" si="57"/>
        <v>0.0</v>
      </c>
      <c r="E210" s="122">
        <f t="shared" si="57"/>
        <v>0.0</v>
      </c>
      <c r="F210" s="122">
        <f t="shared" si="57"/>
        <v>0.0</v>
      </c>
      <c r="G210" s="122">
        <f t="shared" si="57"/>
        <v>0.0</v>
      </c>
      <c r="H210" s="122">
        <f t="shared" si="57"/>
        <v>0.0</v>
      </c>
      <c r="I210" s="122">
        <f t="shared" si="57"/>
        <v>0.0</v>
      </c>
      <c r="J210" s="122">
        <f t="shared" si="57"/>
        <v>0.0</v>
      </c>
      <c r="K210" s="115"/>
      <c r="L210" s="115"/>
      <c r="M210" s="115"/>
      <c r="N210" s="115"/>
      <c r="O210" s="115"/>
      <c r="P210" s="115"/>
      <c r="Q210" s="115"/>
      <c r="R210" s="115"/>
      <c r="S210" s="115"/>
      <c r="T210" s="115"/>
      <c r="U210" s="115"/>
      <c r="V210" s="115"/>
      <c r="W210" s="115"/>
    </row>
    <row r="211" spans="8:8">
      <c r="A211" s="120">
        <f t="shared" si="55"/>
        <v>0.0</v>
      </c>
      <c r="B211" s="120"/>
      <c r="C211" s="121"/>
      <c r="D211" s="122">
        <f t="shared" si="57"/>
        <v>0.0</v>
      </c>
      <c r="E211" s="122">
        <f t="shared" si="57"/>
        <v>0.0</v>
      </c>
      <c r="F211" s="122">
        <f t="shared" si="57"/>
        <v>0.0</v>
      </c>
      <c r="G211" s="122">
        <f t="shared" si="57"/>
        <v>0.0</v>
      </c>
      <c r="H211" s="122">
        <f t="shared" si="57"/>
        <v>0.0</v>
      </c>
      <c r="I211" s="122">
        <f t="shared" si="57"/>
        <v>0.0</v>
      </c>
      <c r="J211" s="122">
        <f t="shared" si="57"/>
        <v>0.0</v>
      </c>
      <c r="K211" s="115"/>
      <c r="L211" s="115"/>
      <c r="M211" s="115"/>
      <c r="N211" s="115"/>
      <c r="O211" s="115"/>
      <c r="P211" s="115"/>
      <c r="Q211" s="115"/>
      <c r="R211" s="115"/>
      <c r="S211" s="115"/>
      <c r="T211" s="115"/>
      <c r="U211" s="115"/>
      <c r="V211" s="115"/>
      <c r="W211" s="115"/>
    </row>
    <row r="212" spans="8:8">
      <c r="A212" s="120">
        <f t="shared" si="55"/>
        <v>0.0</v>
      </c>
      <c r="B212" s="120"/>
      <c r="C212" s="121"/>
      <c r="D212" s="122">
        <f t="shared" si="57"/>
        <v>0.0</v>
      </c>
      <c r="E212" s="122">
        <f t="shared" si="57"/>
        <v>0.0</v>
      </c>
      <c r="F212" s="122">
        <f t="shared" si="57"/>
        <v>0.0</v>
      </c>
      <c r="G212" s="122">
        <f t="shared" si="57"/>
        <v>0.0</v>
      </c>
      <c r="H212" s="122">
        <f t="shared" si="57"/>
        <v>0.0</v>
      </c>
      <c r="I212" s="122">
        <f t="shared" si="57"/>
        <v>0.0</v>
      </c>
      <c r="J212" s="122">
        <f t="shared" si="57"/>
        <v>0.0</v>
      </c>
      <c r="K212" s="115"/>
      <c r="L212" s="115"/>
      <c r="M212" s="115"/>
      <c r="N212" s="115"/>
      <c r="O212" s="115"/>
      <c r="P212" s="115"/>
      <c r="Q212" s="115"/>
      <c r="R212" s="115"/>
      <c r="S212" s="115"/>
      <c r="T212" s="115"/>
      <c r="U212" s="115"/>
      <c r="V212" s="115"/>
      <c r="W212" s="115"/>
    </row>
    <row r="213" spans="8:8">
      <c r="A213" s="120">
        <f t="shared" si="55"/>
        <v>0.0</v>
      </c>
      <c r="B213" s="120"/>
      <c r="C213" s="121"/>
      <c r="D213" s="122">
        <f t="shared" si="57"/>
        <v>0.0</v>
      </c>
      <c r="E213" s="122">
        <f t="shared" si="57"/>
        <v>0.0</v>
      </c>
      <c r="F213" s="122">
        <f t="shared" si="57"/>
        <v>0.0</v>
      </c>
      <c r="G213" s="122">
        <f t="shared" si="57"/>
        <v>0.0</v>
      </c>
      <c r="H213" s="122">
        <f t="shared" si="57"/>
        <v>0.0</v>
      </c>
      <c r="I213" s="122">
        <f t="shared" si="57"/>
        <v>0.0</v>
      </c>
      <c r="J213" s="122">
        <f t="shared" si="57"/>
        <v>0.0</v>
      </c>
      <c r="K213" s="115"/>
      <c r="L213" s="115"/>
      <c r="M213" s="115"/>
      <c r="N213" s="115"/>
      <c r="O213" s="115"/>
      <c r="P213" s="115"/>
      <c r="Q213" s="115"/>
      <c r="R213" s="115"/>
      <c r="S213" s="115"/>
      <c r="T213" s="115"/>
      <c r="U213" s="115"/>
      <c r="V213" s="115"/>
      <c r="W213" s="115"/>
    </row>
    <row r="214" spans="8:8">
      <c r="A214" s="120" t="str">
        <f t="shared" si="55"/>
        <v>Summer</v>
      </c>
      <c r="B214" s="120"/>
      <c r="C214" s="121"/>
      <c r="D214" s="122">
        <f t="shared" si="57"/>
        <v>0.0</v>
      </c>
      <c r="E214" s="122">
        <f t="shared" si="57"/>
        <v>0.0</v>
      </c>
      <c r="F214" s="122">
        <f t="shared" si="57"/>
        <v>0.0</v>
      </c>
      <c r="G214" s="122">
        <f t="shared" si="57"/>
        <v>0.0</v>
      </c>
      <c r="H214" s="122">
        <f t="shared" si="57"/>
        <v>0.0</v>
      </c>
      <c r="I214" s="122">
        <f t="shared" si="57"/>
        <v>0.0</v>
      </c>
      <c r="J214" s="122">
        <f t="shared" si="57"/>
        <v>0.0</v>
      </c>
      <c r="K214" s="115"/>
      <c r="L214" s="115"/>
      <c r="M214" s="115"/>
      <c r="N214" s="115"/>
      <c r="O214" s="115"/>
      <c r="P214" s="115"/>
      <c r="Q214" s="115"/>
      <c r="R214" s="115"/>
      <c r="S214" s="115"/>
      <c r="T214" s="115"/>
      <c r="U214" s="115"/>
      <c r="V214" s="115"/>
      <c r="W214" s="115"/>
    </row>
    <row r="215" spans="8:8">
      <c r="A215" s="120" t="str">
        <f t="shared" si="55"/>
        <v>Groundnut</v>
      </c>
      <c r="B215" s="120"/>
      <c r="C215" s="121"/>
      <c r="D215" s="122">
        <f t="shared" si="57"/>
        <v>0.0</v>
      </c>
      <c r="E215" s="122">
        <f t="shared" si="57"/>
        <v>0.0</v>
      </c>
      <c r="F215" s="122">
        <f t="shared" si="57"/>
        <v>0.0</v>
      </c>
      <c r="G215" s="122">
        <f t="shared" si="57"/>
        <v>0.0</v>
      </c>
      <c r="H215" s="122">
        <f t="shared" si="57"/>
        <v>0.0</v>
      </c>
      <c r="I215" s="122">
        <f t="shared" si="57"/>
        <v>0.0</v>
      </c>
      <c r="J215" s="122">
        <f t="shared" si="57"/>
        <v>0.0</v>
      </c>
      <c r="K215" s="115"/>
      <c r="L215" s="115"/>
      <c r="M215" s="115"/>
      <c r="N215" s="115"/>
      <c r="O215" s="115"/>
      <c r="P215" s="115"/>
      <c r="Q215" s="115"/>
      <c r="R215" s="115"/>
      <c r="S215" s="115"/>
      <c r="T215" s="115"/>
      <c r="U215" s="115"/>
      <c r="V215" s="115"/>
      <c r="W215" s="115"/>
    </row>
    <row r="216" spans="8:8">
      <c r="A216" s="120">
        <f t="shared" si="55"/>
        <v>0.0</v>
      </c>
      <c r="B216" s="120"/>
      <c r="C216" s="121"/>
      <c r="D216" s="122">
        <f t="shared" si="57"/>
        <v>0.0</v>
      </c>
      <c r="E216" s="122">
        <f t="shared" si="57"/>
        <v>0.0</v>
      </c>
      <c r="F216" s="122">
        <f t="shared" si="57"/>
        <v>0.0</v>
      </c>
      <c r="G216" s="122">
        <f t="shared" si="57"/>
        <v>0.0</v>
      </c>
      <c r="H216" s="122">
        <f t="shared" si="57"/>
        <v>0.0</v>
      </c>
      <c r="I216" s="122">
        <f t="shared" si="57"/>
        <v>0.0</v>
      </c>
      <c r="J216" s="122">
        <f t="shared" si="57"/>
        <v>0.0</v>
      </c>
      <c r="K216" s="115"/>
      <c r="L216" s="115"/>
      <c r="M216" s="115"/>
      <c r="N216" s="115"/>
      <c r="O216" s="115"/>
      <c r="P216" s="115"/>
      <c r="Q216" s="115"/>
      <c r="R216" s="115"/>
      <c r="S216" s="115"/>
      <c r="T216" s="115"/>
      <c r="U216" s="115"/>
      <c r="V216" s="115"/>
      <c r="W216" s="115"/>
    </row>
    <row r="217" spans="8:8">
      <c r="A217" s="120">
        <f t="shared" si="55"/>
        <v>0.0</v>
      </c>
      <c r="B217" s="120"/>
      <c r="C217" s="121"/>
      <c r="D217" s="122">
        <f t="shared" si="58" ref="D217:J219">C82*$C217*D$124</f>
        <v>0.0</v>
      </c>
      <c r="E217" s="122">
        <f t="shared" si="58"/>
        <v>0.0</v>
      </c>
      <c r="F217" s="122">
        <f t="shared" si="58"/>
        <v>0.0</v>
      </c>
      <c r="G217" s="122">
        <f t="shared" si="58"/>
        <v>0.0</v>
      </c>
      <c r="H217" s="122">
        <f t="shared" si="58"/>
        <v>0.0</v>
      </c>
      <c r="I217" s="122">
        <f t="shared" si="58"/>
        <v>0.0</v>
      </c>
      <c r="J217" s="122">
        <f t="shared" si="58"/>
        <v>0.0</v>
      </c>
      <c r="K217" s="115"/>
      <c r="L217" s="115"/>
      <c r="M217" s="115"/>
      <c r="N217" s="115"/>
      <c r="O217" s="115"/>
      <c r="P217" s="115"/>
      <c r="Q217" s="115"/>
      <c r="R217" s="115"/>
      <c r="S217" s="115"/>
      <c r="T217" s="115"/>
      <c r="U217" s="115"/>
      <c r="V217" s="115"/>
      <c r="W217" s="115"/>
    </row>
    <row r="218" spans="8:8">
      <c r="A218" s="120">
        <f t="shared" si="55"/>
        <v>0.0</v>
      </c>
      <c r="B218" s="120"/>
      <c r="C218" s="121"/>
      <c r="D218" s="122">
        <f t="shared" si="58"/>
        <v>0.0</v>
      </c>
      <c r="E218" s="122">
        <f t="shared" si="58"/>
        <v>0.0</v>
      </c>
      <c r="F218" s="122">
        <f t="shared" si="58"/>
        <v>0.0</v>
      </c>
      <c r="G218" s="122">
        <f t="shared" si="58"/>
        <v>0.0</v>
      </c>
      <c r="H218" s="122">
        <f t="shared" si="58"/>
        <v>0.0</v>
      </c>
      <c r="I218" s="122">
        <f t="shared" si="58"/>
        <v>0.0</v>
      </c>
      <c r="J218" s="122">
        <f t="shared" si="58"/>
        <v>0.0</v>
      </c>
      <c r="K218" s="115"/>
      <c r="L218" s="115"/>
      <c r="M218" s="115"/>
      <c r="N218" s="115"/>
      <c r="O218" s="115"/>
      <c r="P218" s="115"/>
      <c r="Q218" s="115"/>
      <c r="R218" s="115"/>
      <c r="S218" s="115"/>
      <c r="T218" s="115"/>
      <c r="U218" s="115"/>
      <c r="V218" s="115"/>
      <c r="W218" s="115"/>
    </row>
    <row r="219" spans="8:8">
      <c r="A219" s="120">
        <f t="shared" si="55"/>
        <v>0.0</v>
      </c>
      <c r="B219" s="120"/>
      <c r="C219" s="121"/>
      <c r="D219" s="122">
        <f t="shared" si="58"/>
        <v>0.0</v>
      </c>
      <c r="E219" s="122">
        <f t="shared" si="58"/>
        <v>0.0</v>
      </c>
      <c r="F219" s="122">
        <f t="shared" si="58"/>
        <v>0.0</v>
      </c>
      <c r="G219" s="122">
        <f t="shared" si="58"/>
        <v>0.0</v>
      </c>
      <c r="H219" s="122">
        <f t="shared" si="58"/>
        <v>0.0</v>
      </c>
      <c r="I219" s="122">
        <f t="shared" si="58"/>
        <v>0.0</v>
      </c>
      <c r="J219" s="122">
        <f t="shared" si="58"/>
        <v>0.0</v>
      </c>
      <c r="K219" s="115"/>
      <c r="L219" s="115"/>
      <c r="M219" s="115"/>
      <c r="N219" s="115"/>
      <c r="O219" s="115"/>
      <c r="P219" s="115"/>
      <c r="Q219" s="115"/>
      <c r="R219" s="115"/>
      <c r="S219" s="115"/>
      <c r="T219" s="115"/>
      <c r="U219" s="115"/>
      <c r="V219" s="115"/>
      <c r="W219" s="115"/>
    </row>
    <row r="220" spans="8:8">
      <c r="A220" s="120" t="str">
        <f t="shared" si="55"/>
        <v>Fruit  &amp; Vegetables Crop Production Details</v>
      </c>
      <c r="B220" s="120"/>
      <c r="C220" s="122"/>
      <c r="D220" s="122"/>
      <c r="E220" s="122"/>
      <c r="F220" s="122"/>
      <c r="G220" s="122"/>
      <c r="H220" s="122"/>
      <c r="I220" s="122"/>
      <c r="J220" s="122"/>
      <c r="K220" s="115"/>
      <c r="L220" s="115"/>
      <c r="M220" s="115"/>
      <c r="N220" s="115"/>
      <c r="O220" s="115"/>
      <c r="P220" s="115"/>
      <c r="Q220" s="115"/>
      <c r="R220" s="115"/>
      <c r="S220" s="115"/>
      <c r="T220" s="115"/>
      <c r="U220" s="115"/>
      <c r="V220" s="115"/>
      <c r="W220" s="115"/>
    </row>
    <row r="221" spans="8:8">
      <c r="A221" s="120" t="str">
        <f t="shared" si="55"/>
        <v>Onion</v>
      </c>
      <c r="B221" s="120"/>
      <c r="C221" s="121"/>
      <c r="D221" s="122">
        <f t="shared" si="59" ref="D221:J230">C86*$C221*D$124</f>
        <v>0.0</v>
      </c>
      <c r="E221" s="122">
        <f t="shared" si="59"/>
        <v>0.0</v>
      </c>
      <c r="F221" s="122">
        <f t="shared" si="59"/>
        <v>0.0</v>
      </c>
      <c r="G221" s="122">
        <f t="shared" si="59"/>
        <v>0.0</v>
      </c>
      <c r="H221" s="122">
        <f t="shared" si="59"/>
        <v>0.0</v>
      </c>
      <c r="I221" s="122">
        <f t="shared" si="59"/>
        <v>0.0</v>
      </c>
      <c r="J221" s="122">
        <f t="shared" si="59"/>
        <v>0.0</v>
      </c>
      <c r="K221" s="115"/>
      <c r="L221" s="115"/>
      <c r="M221" s="115"/>
      <c r="N221" s="115"/>
      <c r="O221" s="115"/>
      <c r="P221" s="115"/>
      <c r="Q221" s="115"/>
      <c r="R221" s="115"/>
      <c r="S221" s="115"/>
      <c r="T221" s="115"/>
      <c r="U221" s="115"/>
      <c r="V221" s="115"/>
      <c r="W221" s="115"/>
    </row>
    <row r="222" spans="8:8">
      <c r="A222" s="120" t="str">
        <f t="shared" si="55"/>
        <v>Tomato</v>
      </c>
      <c r="B222" s="120"/>
      <c r="C222" s="121"/>
      <c r="D222" s="122">
        <f t="shared" si="59"/>
        <v>0.0</v>
      </c>
      <c r="E222" s="122">
        <f t="shared" si="59"/>
        <v>0.0</v>
      </c>
      <c r="F222" s="122">
        <f t="shared" si="59"/>
        <v>0.0</v>
      </c>
      <c r="G222" s="122">
        <f t="shared" si="59"/>
        <v>0.0</v>
      </c>
      <c r="H222" s="122">
        <f t="shared" si="59"/>
        <v>0.0</v>
      </c>
      <c r="I222" s="122">
        <f t="shared" si="59"/>
        <v>0.0</v>
      </c>
      <c r="J222" s="122">
        <f t="shared" si="59"/>
        <v>0.0</v>
      </c>
      <c r="K222" s="115"/>
      <c r="L222" s="115"/>
      <c r="M222" s="115"/>
      <c r="N222" s="115"/>
      <c r="O222" s="115"/>
      <c r="P222" s="115"/>
      <c r="Q222" s="115"/>
      <c r="R222" s="115"/>
      <c r="S222" s="115"/>
      <c r="T222" s="115"/>
      <c r="U222" s="115"/>
      <c r="V222" s="115"/>
      <c r="W222" s="115"/>
    </row>
    <row r="223" spans="8:8">
      <c r="A223" s="120" t="str">
        <f t="shared" si="55"/>
        <v>Okra</v>
      </c>
      <c r="B223" s="120"/>
      <c r="C223" s="121"/>
      <c r="D223" s="122">
        <f t="shared" si="59"/>
        <v>0.0</v>
      </c>
      <c r="E223" s="122">
        <f t="shared" si="59"/>
        <v>0.0</v>
      </c>
      <c r="F223" s="122">
        <f t="shared" si="59"/>
        <v>0.0</v>
      </c>
      <c r="G223" s="122">
        <f t="shared" si="59"/>
        <v>0.0</v>
      </c>
      <c r="H223" s="122">
        <f t="shared" si="59"/>
        <v>0.0</v>
      </c>
      <c r="I223" s="122">
        <f t="shared" si="59"/>
        <v>0.0</v>
      </c>
      <c r="J223" s="122">
        <f t="shared" si="59"/>
        <v>0.0</v>
      </c>
      <c r="K223" s="115"/>
      <c r="L223" s="115"/>
      <c r="M223" s="115"/>
      <c r="N223" s="115"/>
      <c r="O223" s="115"/>
      <c r="P223" s="115"/>
      <c r="Q223" s="115"/>
      <c r="R223" s="115"/>
      <c r="S223" s="115"/>
      <c r="T223" s="115"/>
      <c r="U223" s="115"/>
      <c r="V223" s="115"/>
      <c r="W223" s="115"/>
    </row>
    <row r="224" spans="8:8">
      <c r="A224" s="120" t="str">
        <f t="shared" si="55"/>
        <v>Chilli</v>
      </c>
      <c r="B224" s="120"/>
      <c r="C224" s="121"/>
      <c r="D224" s="122">
        <f t="shared" si="59"/>
        <v>0.0</v>
      </c>
      <c r="E224" s="122">
        <f t="shared" si="59"/>
        <v>0.0</v>
      </c>
      <c r="F224" s="122">
        <f t="shared" si="59"/>
        <v>0.0</v>
      </c>
      <c r="G224" s="122">
        <f t="shared" si="59"/>
        <v>0.0</v>
      </c>
      <c r="H224" s="122">
        <f t="shared" si="59"/>
        <v>0.0</v>
      </c>
      <c r="I224" s="122">
        <f t="shared" si="59"/>
        <v>0.0</v>
      </c>
      <c r="J224" s="122">
        <f t="shared" si="59"/>
        <v>0.0</v>
      </c>
      <c r="K224" s="115"/>
      <c r="L224" s="115"/>
      <c r="M224" s="115"/>
      <c r="N224" s="115"/>
      <c r="O224" s="115"/>
      <c r="P224" s="115"/>
      <c r="Q224" s="115"/>
      <c r="R224" s="115"/>
      <c r="S224" s="115"/>
      <c r="T224" s="115"/>
      <c r="U224" s="115"/>
      <c r="V224" s="115"/>
      <c r="W224" s="115"/>
    </row>
    <row r="225" spans="8:8">
      <c r="A225" s="120" t="str">
        <f t="shared" si="55"/>
        <v>Potato</v>
      </c>
      <c r="B225" s="120"/>
      <c r="C225" s="121"/>
      <c r="D225" s="122">
        <f t="shared" si="59"/>
        <v>0.0</v>
      </c>
      <c r="E225" s="122">
        <f t="shared" si="59"/>
        <v>0.0</v>
      </c>
      <c r="F225" s="122">
        <f t="shared" si="59"/>
        <v>0.0</v>
      </c>
      <c r="G225" s="122">
        <f t="shared" si="59"/>
        <v>0.0</v>
      </c>
      <c r="H225" s="122">
        <f t="shared" si="59"/>
        <v>0.0</v>
      </c>
      <c r="I225" s="122">
        <f t="shared" si="59"/>
        <v>0.0</v>
      </c>
      <c r="J225" s="122">
        <f t="shared" si="59"/>
        <v>0.0</v>
      </c>
      <c r="K225" s="115"/>
      <c r="L225" s="115"/>
      <c r="M225" s="115"/>
      <c r="N225" s="115"/>
      <c r="O225" s="115"/>
      <c r="P225" s="115"/>
      <c r="Q225" s="115"/>
      <c r="R225" s="115"/>
      <c r="S225" s="115"/>
      <c r="T225" s="115"/>
      <c r="U225" s="115"/>
      <c r="V225" s="115"/>
      <c r="W225" s="115"/>
    </row>
    <row r="226" spans="8:8">
      <c r="A226" s="120">
        <f t="shared" si="55"/>
        <v>0.0</v>
      </c>
      <c r="B226" s="120"/>
      <c r="C226" s="121"/>
      <c r="D226" s="122">
        <f t="shared" si="59"/>
        <v>0.0</v>
      </c>
      <c r="E226" s="122">
        <f t="shared" si="59"/>
        <v>0.0</v>
      </c>
      <c r="F226" s="122">
        <f t="shared" si="59"/>
        <v>0.0</v>
      </c>
      <c r="G226" s="122">
        <f t="shared" si="59"/>
        <v>0.0</v>
      </c>
      <c r="H226" s="122">
        <f t="shared" si="59"/>
        <v>0.0</v>
      </c>
      <c r="I226" s="122">
        <f t="shared" si="59"/>
        <v>0.0</v>
      </c>
      <c r="J226" s="122">
        <f t="shared" si="59"/>
        <v>0.0</v>
      </c>
      <c r="K226" s="115"/>
      <c r="L226" s="115"/>
      <c r="M226" s="115"/>
      <c r="N226" s="115"/>
      <c r="O226" s="115"/>
      <c r="P226" s="115"/>
      <c r="Q226" s="115"/>
      <c r="R226" s="115"/>
      <c r="S226" s="115"/>
      <c r="T226" s="115"/>
      <c r="U226" s="115"/>
      <c r="V226" s="115"/>
      <c r="W226" s="115"/>
    </row>
    <row r="227" spans="8:8">
      <c r="A227" s="120">
        <f t="shared" si="55"/>
        <v>0.0</v>
      </c>
      <c r="B227" s="120"/>
      <c r="C227" s="121"/>
      <c r="D227" s="122">
        <f t="shared" si="59"/>
        <v>0.0</v>
      </c>
      <c r="E227" s="122">
        <f t="shared" si="59"/>
        <v>0.0</v>
      </c>
      <c r="F227" s="122">
        <f t="shared" si="59"/>
        <v>0.0</v>
      </c>
      <c r="G227" s="122">
        <f t="shared" si="59"/>
        <v>0.0</v>
      </c>
      <c r="H227" s="122">
        <f t="shared" si="59"/>
        <v>0.0</v>
      </c>
      <c r="I227" s="122">
        <f t="shared" si="59"/>
        <v>0.0</v>
      </c>
      <c r="J227" s="122">
        <f t="shared" si="59"/>
        <v>0.0</v>
      </c>
      <c r="K227" s="115"/>
      <c r="L227" s="115"/>
      <c r="M227" s="115"/>
      <c r="N227" s="115"/>
      <c r="O227" s="115"/>
      <c r="P227" s="115"/>
      <c r="Q227" s="115"/>
      <c r="R227" s="115"/>
      <c r="S227" s="115"/>
      <c r="T227" s="115"/>
      <c r="U227" s="115"/>
      <c r="V227" s="115"/>
      <c r="W227" s="115"/>
    </row>
    <row r="228" spans="8:8">
      <c r="A228" s="120">
        <f t="shared" si="55"/>
        <v>0.0</v>
      </c>
      <c r="B228" s="120"/>
      <c r="C228" s="121"/>
      <c r="D228" s="122">
        <f t="shared" si="59"/>
        <v>0.0</v>
      </c>
      <c r="E228" s="122">
        <f t="shared" si="59"/>
        <v>0.0</v>
      </c>
      <c r="F228" s="122">
        <f t="shared" si="59"/>
        <v>0.0</v>
      </c>
      <c r="G228" s="122">
        <f t="shared" si="59"/>
        <v>0.0</v>
      </c>
      <c r="H228" s="122">
        <f t="shared" si="59"/>
        <v>0.0</v>
      </c>
      <c r="I228" s="122">
        <f t="shared" si="59"/>
        <v>0.0</v>
      </c>
      <c r="J228" s="122">
        <f t="shared" si="59"/>
        <v>0.0</v>
      </c>
      <c r="K228" s="115"/>
      <c r="L228" s="115"/>
      <c r="M228" s="115"/>
      <c r="N228" s="115"/>
      <c r="O228" s="115"/>
      <c r="P228" s="115"/>
      <c r="Q228" s="115"/>
      <c r="R228" s="115"/>
      <c r="S228" s="115"/>
      <c r="T228" s="115"/>
      <c r="U228" s="115"/>
      <c r="V228" s="115"/>
      <c r="W228" s="115"/>
    </row>
    <row r="229" spans="8:8">
      <c r="A229" s="120">
        <f t="shared" si="55"/>
        <v>0.0</v>
      </c>
      <c r="B229" s="120"/>
      <c r="C229" s="121"/>
      <c r="D229" s="122">
        <f t="shared" si="59"/>
        <v>0.0</v>
      </c>
      <c r="E229" s="122">
        <f t="shared" si="59"/>
        <v>0.0</v>
      </c>
      <c r="F229" s="122">
        <f t="shared" si="59"/>
        <v>0.0</v>
      </c>
      <c r="G229" s="122">
        <f t="shared" si="59"/>
        <v>0.0</v>
      </c>
      <c r="H229" s="122">
        <f t="shared" si="59"/>
        <v>0.0</v>
      </c>
      <c r="I229" s="122">
        <f t="shared" si="59"/>
        <v>0.0</v>
      </c>
      <c r="J229" s="122">
        <f t="shared" si="59"/>
        <v>0.0</v>
      </c>
      <c r="K229" s="115"/>
      <c r="L229" s="115"/>
      <c r="M229" s="115"/>
      <c r="N229" s="115"/>
      <c r="O229" s="115"/>
      <c r="P229" s="115"/>
      <c r="Q229" s="115"/>
      <c r="R229" s="115"/>
      <c r="S229" s="115"/>
      <c r="T229" s="115"/>
      <c r="U229" s="115"/>
      <c r="V229" s="115"/>
      <c r="W229" s="115"/>
    </row>
    <row r="230" spans="8:8">
      <c r="A230" s="120" t="str">
        <f t="shared" si="55"/>
        <v>Onion</v>
      </c>
      <c r="B230" s="120"/>
      <c r="C230" s="121"/>
      <c r="D230" s="122">
        <f t="shared" si="59"/>
        <v>0.0</v>
      </c>
      <c r="E230" s="122">
        <f t="shared" si="59"/>
        <v>0.0</v>
      </c>
      <c r="F230" s="122">
        <f t="shared" si="59"/>
        <v>0.0</v>
      </c>
      <c r="G230" s="122">
        <f t="shared" si="59"/>
        <v>0.0</v>
      </c>
      <c r="H230" s="122">
        <f t="shared" si="59"/>
        <v>0.0</v>
      </c>
      <c r="I230" s="122">
        <f t="shared" si="59"/>
        <v>0.0</v>
      </c>
      <c r="J230" s="122">
        <f t="shared" si="59"/>
        <v>0.0</v>
      </c>
      <c r="K230" s="115"/>
      <c r="L230" s="115"/>
      <c r="M230" s="115"/>
      <c r="N230" s="115"/>
      <c r="O230" s="115"/>
      <c r="P230" s="115"/>
      <c r="Q230" s="115"/>
      <c r="R230" s="115"/>
      <c r="S230" s="115"/>
      <c r="T230" s="115"/>
      <c r="U230" s="115"/>
      <c r="V230" s="115"/>
      <c r="W230" s="115"/>
    </row>
    <row r="231" spans="8:8">
      <c r="A231" s="120" t="str">
        <f t="shared" si="55"/>
        <v>Tomato</v>
      </c>
      <c r="B231" s="120"/>
      <c r="C231" s="121"/>
      <c r="D231" s="122">
        <f t="shared" si="60" ref="D231:J238">C96*$C231*D$124</f>
        <v>0.0</v>
      </c>
      <c r="E231" s="122">
        <f t="shared" si="60"/>
        <v>0.0</v>
      </c>
      <c r="F231" s="122">
        <f t="shared" si="60"/>
        <v>0.0</v>
      </c>
      <c r="G231" s="122">
        <f t="shared" si="60"/>
        <v>0.0</v>
      </c>
      <c r="H231" s="122">
        <f t="shared" si="60"/>
        <v>0.0</v>
      </c>
      <c r="I231" s="122">
        <f t="shared" si="60"/>
        <v>0.0</v>
      </c>
      <c r="J231" s="122">
        <f t="shared" si="60"/>
        <v>0.0</v>
      </c>
      <c r="K231" s="115"/>
      <c r="L231" s="115"/>
      <c r="M231" s="115"/>
      <c r="N231" s="115"/>
      <c r="O231" s="115"/>
      <c r="P231" s="115"/>
      <c r="Q231" s="115"/>
      <c r="R231" s="115"/>
      <c r="S231" s="115"/>
      <c r="T231" s="115"/>
      <c r="U231" s="115"/>
      <c r="V231" s="115"/>
      <c r="W231" s="115"/>
    </row>
    <row r="232" spans="8:8">
      <c r="A232" s="120" t="str">
        <f t="shared" si="55"/>
        <v>Okra</v>
      </c>
      <c r="B232" s="120"/>
      <c r="C232" s="121"/>
      <c r="D232" s="122">
        <f t="shared" si="60"/>
        <v>0.0</v>
      </c>
      <c r="E232" s="122">
        <f t="shared" si="60"/>
        <v>0.0</v>
      </c>
      <c r="F232" s="122">
        <f t="shared" si="60"/>
        <v>0.0</v>
      </c>
      <c r="G232" s="122">
        <f t="shared" si="60"/>
        <v>0.0</v>
      </c>
      <c r="H232" s="122">
        <f t="shared" si="60"/>
        <v>0.0</v>
      </c>
      <c r="I232" s="122">
        <f t="shared" si="60"/>
        <v>0.0</v>
      </c>
      <c r="J232" s="122">
        <f t="shared" si="60"/>
        <v>0.0</v>
      </c>
      <c r="K232" s="115"/>
      <c r="L232" s="115"/>
      <c r="M232" s="115"/>
      <c r="N232" s="115"/>
      <c r="O232" s="115"/>
      <c r="P232" s="115"/>
      <c r="Q232" s="115"/>
      <c r="R232" s="115"/>
      <c r="S232" s="115"/>
      <c r="T232" s="115"/>
      <c r="U232" s="115"/>
      <c r="V232" s="115"/>
      <c r="W232" s="115"/>
    </row>
    <row r="233" spans="8:8">
      <c r="A233" s="120" t="str">
        <f t="shared" si="55"/>
        <v>Chilli</v>
      </c>
      <c r="B233" s="120"/>
      <c r="C233" s="121"/>
      <c r="D233" s="122">
        <f t="shared" si="60"/>
        <v>0.0</v>
      </c>
      <c r="E233" s="122">
        <f t="shared" si="60"/>
        <v>0.0</v>
      </c>
      <c r="F233" s="122">
        <f t="shared" si="60"/>
        <v>0.0</v>
      </c>
      <c r="G233" s="122">
        <f t="shared" si="60"/>
        <v>0.0</v>
      </c>
      <c r="H233" s="122">
        <f t="shared" si="60"/>
        <v>0.0</v>
      </c>
      <c r="I233" s="122">
        <f t="shared" si="60"/>
        <v>0.0</v>
      </c>
      <c r="J233" s="122">
        <f t="shared" si="60"/>
        <v>0.0</v>
      </c>
      <c r="K233" s="115"/>
      <c r="L233" s="115"/>
      <c r="M233" s="115"/>
      <c r="N233" s="115"/>
      <c r="O233" s="115"/>
      <c r="P233" s="115"/>
      <c r="Q233" s="115"/>
      <c r="R233" s="115"/>
      <c r="S233" s="115"/>
      <c r="T233" s="115"/>
      <c r="U233" s="115"/>
      <c r="V233" s="115"/>
      <c r="W233" s="115"/>
    </row>
    <row r="234" spans="8:8">
      <c r="A234" s="120" t="str">
        <f t="shared" si="55"/>
        <v>Brinjal</v>
      </c>
      <c r="B234" s="120"/>
      <c r="C234" s="121"/>
      <c r="D234" s="122">
        <f t="shared" si="60"/>
        <v>0.0</v>
      </c>
      <c r="E234" s="122">
        <f t="shared" si="60"/>
        <v>0.0</v>
      </c>
      <c r="F234" s="122">
        <f t="shared" si="60"/>
        <v>0.0</v>
      </c>
      <c r="G234" s="122">
        <f t="shared" si="60"/>
        <v>0.0</v>
      </c>
      <c r="H234" s="122">
        <f t="shared" si="60"/>
        <v>0.0</v>
      </c>
      <c r="I234" s="122">
        <f t="shared" si="60"/>
        <v>0.0</v>
      </c>
      <c r="J234" s="122">
        <f t="shared" si="60"/>
        <v>0.0</v>
      </c>
      <c r="K234" s="115"/>
      <c r="L234" s="115"/>
      <c r="M234" s="115"/>
      <c r="N234" s="115"/>
      <c r="O234" s="115"/>
      <c r="P234" s="115"/>
      <c r="Q234" s="115"/>
      <c r="R234" s="115"/>
      <c r="S234" s="115"/>
      <c r="T234" s="115"/>
      <c r="U234" s="115"/>
      <c r="V234" s="115"/>
      <c r="W234" s="115"/>
    </row>
    <row r="235" spans="8:8">
      <c r="A235" s="120">
        <f t="shared" si="55"/>
        <v>0.0</v>
      </c>
      <c r="B235" s="120"/>
      <c r="C235" s="121"/>
      <c r="D235" s="122">
        <f t="shared" si="60"/>
        <v>0.0</v>
      </c>
      <c r="E235" s="122">
        <f t="shared" si="60"/>
        <v>0.0</v>
      </c>
      <c r="F235" s="122">
        <f t="shared" si="60"/>
        <v>0.0</v>
      </c>
      <c r="G235" s="122">
        <f t="shared" si="60"/>
        <v>0.0</v>
      </c>
      <c r="H235" s="122">
        <f t="shared" si="60"/>
        <v>0.0</v>
      </c>
      <c r="I235" s="122">
        <f t="shared" si="60"/>
        <v>0.0</v>
      </c>
      <c r="J235" s="122">
        <f t="shared" si="60"/>
        <v>0.0</v>
      </c>
      <c r="K235" s="115"/>
      <c r="L235" s="115"/>
      <c r="M235" s="115"/>
      <c r="N235" s="115"/>
      <c r="O235" s="115"/>
      <c r="P235" s="115"/>
      <c r="Q235" s="115"/>
      <c r="R235" s="115"/>
      <c r="S235" s="115"/>
      <c r="T235" s="115"/>
      <c r="U235" s="115"/>
      <c r="V235" s="115"/>
      <c r="W235" s="115"/>
    </row>
    <row r="236" spans="8:8">
      <c r="A236" s="120">
        <f t="shared" si="55"/>
        <v>0.0</v>
      </c>
      <c r="B236" s="120"/>
      <c r="C236" s="121"/>
      <c r="D236" s="122">
        <f t="shared" si="60"/>
        <v>0.0</v>
      </c>
      <c r="E236" s="122">
        <f t="shared" si="60"/>
        <v>0.0</v>
      </c>
      <c r="F236" s="122">
        <f t="shared" si="60"/>
        <v>0.0</v>
      </c>
      <c r="G236" s="122">
        <f t="shared" si="60"/>
        <v>0.0</v>
      </c>
      <c r="H236" s="122">
        <f t="shared" si="60"/>
        <v>0.0</v>
      </c>
      <c r="I236" s="122">
        <f t="shared" si="60"/>
        <v>0.0</v>
      </c>
      <c r="J236" s="122">
        <f t="shared" si="60"/>
        <v>0.0</v>
      </c>
      <c r="K236" s="115"/>
      <c r="L236" s="115"/>
      <c r="M236" s="115"/>
      <c r="N236" s="115"/>
      <c r="O236" s="115"/>
      <c r="P236" s="115"/>
      <c r="Q236" s="115"/>
      <c r="R236" s="115"/>
      <c r="S236" s="115"/>
      <c r="T236" s="115"/>
      <c r="U236" s="115"/>
      <c r="V236" s="115"/>
      <c r="W236" s="115"/>
    </row>
    <row r="237" spans="8:8">
      <c r="A237" s="120">
        <f t="shared" si="55"/>
        <v>0.0</v>
      </c>
      <c r="B237" s="120"/>
      <c r="C237" s="121"/>
      <c r="D237" s="122">
        <f t="shared" si="60"/>
        <v>0.0</v>
      </c>
      <c r="E237" s="122">
        <f t="shared" si="60"/>
        <v>0.0</v>
      </c>
      <c r="F237" s="122">
        <f t="shared" si="60"/>
        <v>0.0</v>
      </c>
      <c r="G237" s="122">
        <f t="shared" si="60"/>
        <v>0.0</v>
      </c>
      <c r="H237" s="122">
        <f t="shared" si="60"/>
        <v>0.0</v>
      </c>
      <c r="I237" s="122">
        <f t="shared" si="60"/>
        <v>0.0</v>
      </c>
      <c r="J237" s="122">
        <f t="shared" si="60"/>
        <v>0.0</v>
      </c>
      <c r="K237" s="115"/>
      <c r="L237" s="115"/>
      <c r="M237" s="115"/>
      <c r="N237" s="115"/>
      <c r="O237" s="115"/>
      <c r="P237" s="115"/>
      <c r="Q237" s="115"/>
      <c r="R237" s="115"/>
      <c r="S237" s="115"/>
      <c r="T237" s="115"/>
      <c r="U237" s="115"/>
      <c r="V237" s="115"/>
      <c r="W237" s="115"/>
    </row>
    <row r="238" spans="8:8">
      <c r="A238" s="120">
        <f t="shared" si="55"/>
        <v>0.0</v>
      </c>
      <c r="B238" s="120"/>
      <c r="C238" s="121"/>
      <c r="D238" s="122">
        <f t="shared" si="60"/>
        <v>0.0</v>
      </c>
      <c r="E238" s="122">
        <f t="shared" si="60"/>
        <v>0.0</v>
      </c>
      <c r="F238" s="122">
        <f t="shared" si="60"/>
        <v>0.0</v>
      </c>
      <c r="G238" s="122">
        <f t="shared" si="60"/>
        <v>0.0</v>
      </c>
      <c r="H238" s="122">
        <f t="shared" si="60"/>
        <v>0.0</v>
      </c>
      <c r="I238" s="122">
        <f t="shared" si="60"/>
        <v>0.0</v>
      </c>
      <c r="J238" s="122">
        <f t="shared" si="60"/>
        <v>0.0</v>
      </c>
      <c r="K238" s="115"/>
      <c r="L238" s="115"/>
      <c r="M238" s="115"/>
      <c r="N238" s="115"/>
      <c r="O238" s="115"/>
      <c r="P238" s="115"/>
      <c r="Q238" s="115"/>
      <c r="R238" s="115"/>
      <c r="S238" s="115"/>
      <c r="T238" s="115"/>
      <c r="U238" s="115"/>
      <c r="V238" s="115"/>
      <c r="W238" s="115"/>
    </row>
    <row r="239" spans="8:8">
      <c r="A239" s="120" t="str">
        <f>A175</f>
        <v>Pomegranate</v>
      </c>
      <c r="B239" s="120"/>
      <c r="C239" s="121"/>
      <c r="D239" s="122">
        <f t="shared" si="61" ref="D239:J243">C107*$C239*D$124</f>
        <v>0.0</v>
      </c>
      <c r="E239" s="122">
        <f t="shared" si="61"/>
        <v>0.0</v>
      </c>
      <c r="F239" s="122">
        <f t="shared" si="61"/>
        <v>0.0</v>
      </c>
      <c r="G239" s="122">
        <f t="shared" si="61"/>
        <v>0.0</v>
      </c>
      <c r="H239" s="122">
        <f t="shared" si="61"/>
        <v>0.0</v>
      </c>
      <c r="I239" s="122">
        <f t="shared" si="61"/>
        <v>0.0</v>
      </c>
      <c r="J239" s="122">
        <f t="shared" si="61"/>
        <v>0.0</v>
      </c>
      <c r="K239" s="115"/>
      <c r="L239" s="115"/>
      <c r="M239" s="115"/>
      <c r="N239" s="115"/>
      <c r="O239" s="115"/>
      <c r="P239" s="115"/>
      <c r="Q239" s="115"/>
      <c r="R239" s="115"/>
      <c r="S239" s="115"/>
      <c r="T239" s="115"/>
      <c r="U239" s="115"/>
      <c r="V239" s="115"/>
      <c r="W239" s="115"/>
    </row>
    <row r="240" spans="8:8">
      <c r="A240" s="120" t="str">
        <f>A176</f>
        <v>Custard Apple</v>
      </c>
      <c r="B240" s="120"/>
      <c r="C240" s="121"/>
      <c r="D240" s="122">
        <f t="shared" si="61"/>
        <v>0.0</v>
      </c>
      <c r="E240" s="122">
        <f t="shared" si="61"/>
        <v>0.0</v>
      </c>
      <c r="F240" s="122">
        <f t="shared" si="61"/>
        <v>0.0</v>
      </c>
      <c r="G240" s="122">
        <f t="shared" si="61"/>
        <v>0.0</v>
      </c>
      <c r="H240" s="122">
        <f t="shared" si="61"/>
        <v>0.0</v>
      </c>
      <c r="I240" s="122">
        <f t="shared" si="61"/>
        <v>0.0</v>
      </c>
      <c r="J240" s="122">
        <f t="shared" si="61"/>
        <v>0.0</v>
      </c>
      <c r="K240" s="115"/>
      <c r="L240" s="115"/>
      <c r="M240" s="115"/>
      <c r="N240" s="115"/>
      <c r="O240" s="115"/>
      <c r="P240" s="115"/>
      <c r="Q240" s="115"/>
      <c r="R240" s="115"/>
      <c r="S240" s="115"/>
      <c r="T240" s="115"/>
      <c r="U240" s="115"/>
      <c r="V240" s="115"/>
      <c r="W240" s="115"/>
    </row>
    <row r="241" spans="8:8">
      <c r="A241" s="120" t="str">
        <f>A177</f>
        <v>Guava</v>
      </c>
      <c r="B241" s="120"/>
      <c r="C241" s="121"/>
      <c r="D241" s="122">
        <f t="shared" si="61"/>
        <v>0.0</v>
      </c>
      <c r="E241" s="122">
        <f t="shared" si="61"/>
        <v>0.0</v>
      </c>
      <c r="F241" s="122">
        <f t="shared" si="61"/>
        <v>0.0</v>
      </c>
      <c r="G241" s="122">
        <f t="shared" si="61"/>
        <v>0.0</v>
      </c>
      <c r="H241" s="122">
        <f t="shared" si="61"/>
        <v>0.0</v>
      </c>
      <c r="I241" s="122">
        <f t="shared" si="61"/>
        <v>0.0</v>
      </c>
      <c r="J241" s="122">
        <f t="shared" si="61"/>
        <v>0.0</v>
      </c>
      <c r="K241" s="115"/>
      <c r="L241" s="115"/>
      <c r="M241" s="115"/>
      <c r="N241" s="115"/>
      <c r="O241" s="115"/>
      <c r="P241" s="115"/>
      <c r="Q241" s="115"/>
      <c r="R241" s="115"/>
      <c r="S241" s="115"/>
      <c r="T241" s="115"/>
      <c r="U241" s="115"/>
      <c r="V241" s="115"/>
      <c r="W241" s="115"/>
    </row>
    <row r="242" spans="8:8">
      <c r="A242" s="120" t="str">
        <f>A178</f>
        <v>Citrus</v>
      </c>
      <c r="B242" s="120"/>
      <c r="C242" s="121"/>
      <c r="D242" s="122">
        <f t="shared" si="61"/>
        <v>0.0</v>
      </c>
      <c r="E242" s="122">
        <f t="shared" si="61"/>
        <v>0.0</v>
      </c>
      <c r="F242" s="122">
        <f t="shared" si="61"/>
        <v>0.0</v>
      </c>
      <c r="G242" s="122">
        <f t="shared" si="61"/>
        <v>0.0</v>
      </c>
      <c r="H242" s="122">
        <f t="shared" si="61"/>
        <v>0.0</v>
      </c>
      <c r="I242" s="122">
        <f t="shared" si="61"/>
        <v>0.0</v>
      </c>
      <c r="J242" s="122">
        <f t="shared" si="61"/>
        <v>0.0</v>
      </c>
      <c r="K242" s="115"/>
      <c r="L242" s="115"/>
      <c r="M242" s="115"/>
      <c r="N242" s="115"/>
      <c r="O242" s="115"/>
      <c r="P242" s="115"/>
      <c r="Q242" s="115"/>
      <c r="R242" s="115"/>
      <c r="S242" s="115"/>
      <c r="T242" s="115"/>
      <c r="U242" s="115"/>
      <c r="V242" s="115"/>
      <c r="W242" s="115"/>
    </row>
    <row r="243" spans="8:8">
      <c r="A243" s="120">
        <f>A179</f>
        <v>0.0</v>
      </c>
      <c r="B243" s="120"/>
      <c r="C243" s="121"/>
      <c r="D243" s="122">
        <f t="shared" si="61"/>
        <v>0.0</v>
      </c>
      <c r="E243" s="122">
        <f t="shared" si="61"/>
        <v>0.0</v>
      </c>
      <c r="F243" s="122">
        <f t="shared" si="61"/>
        <v>0.0</v>
      </c>
      <c r="G243" s="122">
        <f t="shared" si="61"/>
        <v>0.0</v>
      </c>
      <c r="H243" s="122">
        <f t="shared" si="61"/>
        <v>0.0</v>
      </c>
      <c r="I243" s="122">
        <f t="shared" si="61"/>
        <v>0.0</v>
      </c>
      <c r="J243" s="122">
        <f t="shared" si="61"/>
        <v>0.0</v>
      </c>
      <c r="K243" s="115"/>
      <c r="L243" s="115"/>
      <c r="M243" s="115"/>
      <c r="N243" s="115"/>
      <c r="O243" s="115"/>
      <c r="P243" s="115"/>
      <c r="Q243" s="115"/>
      <c r="R243" s="115"/>
      <c r="S243" s="115"/>
      <c r="T243" s="115"/>
      <c r="U243" s="115"/>
      <c r="V243" s="115"/>
      <c r="W243" s="115"/>
    </row>
    <row r="244" spans="8:8">
      <c r="A244" s="120" t="str">
        <f>A181</f>
        <v>Fertilizer(Rate/KG)</v>
      </c>
      <c r="B244" s="120"/>
      <c r="C244" s="122"/>
      <c r="D244" s="122"/>
      <c r="E244" s="122"/>
      <c r="F244" s="122"/>
      <c r="G244" s="122"/>
      <c r="H244" s="122"/>
      <c r="I244" s="122"/>
      <c r="J244" s="122"/>
      <c r="K244" s="115"/>
      <c r="L244" s="115"/>
      <c r="M244" s="115"/>
      <c r="N244" s="115"/>
      <c r="O244" s="115"/>
      <c r="P244" s="115"/>
      <c r="Q244" s="115"/>
      <c r="R244" s="115"/>
      <c r="S244" s="115"/>
      <c r="T244" s="115"/>
      <c r="U244" s="115"/>
      <c r="V244" s="115"/>
      <c r="W244" s="115"/>
    </row>
    <row r="245" spans="8:8">
      <c r="A245" s="120" t="str">
        <f>A182</f>
        <v>SSP</v>
      </c>
      <c r="B245" s="120"/>
      <c r="C245" s="121">
        <v>6.0</v>
      </c>
      <c r="D245" s="122">
        <f t="shared" si="62" ref="D245:J245">C114*$C$245*D124</f>
        <v>0.0</v>
      </c>
      <c r="E245" s="122">
        <f t="shared" si="62"/>
        <v>0.0</v>
      </c>
      <c r="F245" s="122">
        <f t="shared" si="62"/>
        <v>0.0</v>
      </c>
      <c r="G245" s="122">
        <f t="shared" si="62"/>
        <v>0.0</v>
      </c>
      <c r="H245" s="122">
        <f t="shared" si="62"/>
        <v>0.0</v>
      </c>
      <c r="I245" s="122">
        <f t="shared" si="62"/>
        <v>0.0</v>
      </c>
      <c r="J245" s="122">
        <f t="shared" si="62"/>
        <v>0.0</v>
      </c>
      <c r="K245" s="115"/>
      <c r="L245" s="115"/>
      <c r="M245" s="115"/>
      <c r="N245" s="115"/>
      <c r="O245" s="115"/>
      <c r="P245" s="115"/>
      <c r="Q245" s="115"/>
      <c r="R245" s="115"/>
      <c r="S245" s="115"/>
      <c r="T245" s="115"/>
      <c r="U245" s="115"/>
      <c r="V245" s="115"/>
      <c r="W245" s="115"/>
    </row>
    <row r="246" spans="8:8">
      <c r="A246" s="120" t="str">
        <f>A183</f>
        <v>Urea</v>
      </c>
      <c r="B246" s="120"/>
      <c r="C246" s="121">
        <v>5.0</v>
      </c>
      <c r="D246" s="122">
        <f t="shared" si="63" ref="D246:J246">C115*$C$246*D124</f>
        <v>0.0</v>
      </c>
      <c r="E246" s="122">
        <f t="shared" si="63"/>
        <v>0.0</v>
      </c>
      <c r="F246" s="122">
        <f t="shared" si="63"/>
        <v>0.0</v>
      </c>
      <c r="G246" s="122">
        <f t="shared" si="63"/>
        <v>0.0</v>
      </c>
      <c r="H246" s="122">
        <f t="shared" si="63"/>
        <v>0.0</v>
      </c>
      <c r="I246" s="122">
        <f t="shared" si="63"/>
        <v>0.0</v>
      </c>
      <c r="J246" s="122">
        <f t="shared" si="63"/>
        <v>0.0</v>
      </c>
      <c r="K246" s="115"/>
      <c r="L246" s="115"/>
      <c r="M246" s="115"/>
      <c r="N246" s="115"/>
      <c r="O246" s="115"/>
      <c r="P246" s="115"/>
      <c r="Q246" s="115"/>
      <c r="R246" s="115"/>
      <c r="S246" s="115"/>
      <c r="T246" s="115"/>
      <c r="U246" s="115"/>
      <c r="V246" s="115"/>
      <c r="W246" s="115"/>
    </row>
    <row r="247" spans="8:8">
      <c r="A247" s="120" t="str">
        <f>A184</f>
        <v>DAP</v>
      </c>
      <c r="B247" s="120"/>
      <c r="C247" s="121">
        <v>27.0</v>
      </c>
      <c r="D247" s="122">
        <f t="shared" si="64" ref="D247:J247">C116*$C$247*D124</f>
        <v>0.0</v>
      </c>
      <c r="E247" s="122">
        <f t="shared" si="64"/>
        <v>0.0</v>
      </c>
      <c r="F247" s="122">
        <f t="shared" si="64"/>
        <v>0.0</v>
      </c>
      <c r="G247" s="122">
        <f t="shared" si="64"/>
        <v>0.0</v>
      </c>
      <c r="H247" s="122">
        <f t="shared" si="64"/>
        <v>0.0</v>
      </c>
      <c r="I247" s="122">
        <f t="shared" si="64"/>
        <v>0.0</v>
      </c>
      <c r="J247" s="122">
        <f t="shared" si="64"/>
        <v>0.0</v>
      </c>
      <c r="K247" s="115"/>
      <c r="L247" s="115"/>
      <c r="M247" s="115"/>
      <c r="N247" s="115"/>
      <c r="O247" s="115"/>
      <c r="P247" s="115"/>
      <c r="Q247" s="115"/>
      <c r="R247" s="115"/>
      <c r="S247" s="115"/>
      <c r="T247" s="115"/>
      <c r="U247" s="115"/>
      <c r="V247" s="115"/>
      <c r="W247" s="115"/>
    </row>
    <row r="248" spans="8:8">
      <c r="A248" s="120"/>
      <c r="B248" s="120"/>
      <c r="C248" s="122"/>
      <c r="D248" s="122"/>
      <c r="E248" s="122"/>
      <c r="F248" s="122"/>
      <c r="G248" s="122"/>
      <c r="H248" s="122"/>
      <c r="I248" s="122"/>
      <c r="J248" s="122"/>
      <c r="K248" s="115"/>
      <c r="L248" s="115"/>
      <c r="M248" s="115"/>
      <c r="N248" s="115"/>
      <c r="O248" s="115"/>
      <c r="P248" s="115"/>
      <c r="Q248" s="115"/>
      <c r="R248" s="115"/>
      <c r="S248" s="115"/>
      <c r="T248" s="115"/>
      <c r="U248" s="115"/>
      <c r="V248" s="115"/>
      <c r="W248" s="115"/>
    </row>
    <row r="249" spans="8:8">
      <c r="A249" s="120" t="str">
        <f>A186</f>
        <v>Pesticide</v>
      </c>
      <c r="B249" s="120"/>
      <c r="C249" s="122"/>
      <c r="D249" s="122"/>
      <c r="E249" s="122"/>
      <c r="F249" s="122"/>
      <c r="G249" s="122"/>
      <c r="H249" s="122"/>
      <c r="I249" s="122"/>
      <c r="J249" s="122"/>
      <c r="K249" s="115"/>
      <c r="L249" s="115"/>
      <c r="M249" s="115"/>
      <c r="N249" s="115"/>
      <c r="O249" s="115"/>
      <c r="P249" s="115"/>
      <c r="Q249" s="115"/>
      <c r="R249" s="115"/>
      <c r="S249" s="115"/>
      <c r="T249" s="115"/>
      <c r="U249" s="115"/>
      <c r="V249" s="115"/>
      <c r="W249" s="115"/>
    </row>
    <row r="250" spans="8:8">
      <c r="A250" s="120" t="str">
        <f>A187</f>
        <v>Dupont Coragen</v>
      </c>
      <c r="B250" s="120"/>
      <c r="C250" s="121">
        <v>2800.0</v>
      </c>
      <c r="D250" s="122">
        <f t="shared" si="65" ref="D250:J250">C118*$C$250*D124</f>
        <v>0.0</v>
      </c>
      <c r="E250" s="122">
        <f t="shared" si="65"/>
        <v>0.0</v>
      </c>
      <c r="F250" s="122">
        <f t="shared" si="65"/>
        <v>0.0</v>
      </c>
      <c r="G250" s="122">
        <f t="shared" si="65"/>
        <v>0.0</v>
      </c>
      <c r="H250" s="122">
        <f t="shared" si="65"/>
        <v>0.0</v>
      </c>
      <c r="I250" s="122">
        <f t="shared" si="65"/>
        <v>0.0</v>
      </c>
      <c r="J250" s="122">
        <f t="shared" si="65"/>
        <v>0.0</v>
      </c>
      <c r="K250" s="115"/>
      <c r="L250" s="115"/>
      <c r="M250" s="115"/>
      <c r="N250" s="115"/>
      <c r="O250" s="115"/>
      <c r="P250" s="115"/>
      <c r="Q250" s="115"/>
      <c r="R250" s="115"/>
      <c r="S250" s="115"/>
      <c r="T250" s="115"/>
      <c r="U250" s="115"/>
      <c r="V250" s="115"/>
      <c r="W250" s="115"/>
    </row>
    <row r="251" spans="8:8">
      <c r="A251" s="120" t="str">
        <f>A188</f>
        <v>Confidor Boyer</v>
      </c>
      <c r="B251" s="120"/>
      <c r="C251" s="121">
        <v>2000.0</v>
      </c>
      <c r="D251" s="122">
        <f t="shared" si="66" ref="D251:J251">C119*$C$251*D124</f>
        <v>0.0</v>
      </c>
      <c r="E251" s="122">
        <f t="shared" si="66"/>
        <v>0.0</v>
      </c>
      <c r="F251" s="122">
        <f t="shared" si="66"/>
        <v>0.0</v>
      </c>
      <c r="G251" s="122">
        <f t="shared" si="66"/>
        <v>0.0</v>
      </c>
      <c r="H251" s="122">
        <f t="shared" si="66"/>
        <v>0.0</v>
      </c>
      <c r="I251" s="122">
        <f t="shared" si="66"/>
        <v>0.0</v>
      </c>
      <c r="J251" s="122">
        <f t="shared" si="66"/>
        <v>0.0</v>
      </c>
      <c r="K251" s="115"/>
      <c r="L251" s="115"/>
      <c r="M251" s="115"/>
      <c r="N251" s="115"/>
      <c r="O251" s="115"/>
      <c r="P251" s="115"/>
      <c r="Q251" s="115"/>
      <c r="R251" s="115"/>
      <c r="S251" s="115"/>
      <c r="T251" s="115"/>
      <c r="U251" s="115"/>
      <c r="V251" s="115"/>
      <c r="W251" s="115"/>
    </row>
    <row r="252" spans="8:8">
      <c r="A252" s="120"/>
      <c r="B252" s="120"/>
      <c r="C252" s="122"/>
      <c r="D252" s="122"/>
      <c r="E252" s="122"/>
      <c r="F252" s="122"/>
      <c r="G252" s="122"/>
      <c r="H252" s="122"/>
      <c r="I252" s="122"/>
      <c r="J252" s="122"/>
      <c r="K252" s="115"/>
      <c r="L252" s="115"/>
      <c r="M252" s="115"/>
      <c r="N252" s="115"/>
      <c r="O252" s="115"/>
      <c r="P252" s="115"/>
      <c r="Q252" s="115"/>
      <c r="R252" s="115"/>
      <c r="S252" s="115"/>
      <c r="T252" s="115"/>
      <c r="U252" s="115"/>
      <c r="V252" s="115"/>
      <c r="W252" s="115"/>
    </row>
    <row r="253" spans="8:8">
      <c r="A253" s="120" t="s">
        <v>293</v>
      </c>
      <c r="B253" s="120"/>
      <c r="C253" s="121">
        <v>10.0</v>
      </c>
      <c r="D253" s="122">
        <f t="shared" si="67" ref="D253:J253">(SUM(C63:C119)/50)*$C$253*D124</f>
        <v>0.0</v>
      </c>
      <c r="E253" s="122">
        <f t="shared" si="67"/>
        <v>0.0</v>
      </c>
      <c r="F253" s="122">
        <f t="shared" si="67"/>
        <v>0.0</v>
      </c>
      <c r="G253" s="122">
        <f t="shared" si="67"/>
        <v>0.0</v>
      </c>
      <c r="H253" s="122">
        <f t="shared" si="67"/>
        <v>0.0</v>
      </c>
      <c r="I253" s="122">
        <f t="shared" si="67"/>
        <v>0.0</v>
      </c>
      <c r="J253" s="122">
        <f t="shared" si="67"/>
        <v>0.0</v>
      </c>
      <c r="K253" s="115"/>
      <c r="L253" s="115"/>
      <c r="M253" s="115"/>
      <c r="N253" s="115"/>
      <c r="O253" s="115"/>
      <c r="P253" s="115"/>
      <c r="Q253" s="115"/>
      <c r="R253" s="115"/>
      <c r="S253" s="115"/>
      <c r="T253" s="115"/>
      <c r="U253" s="115"/>
      <c r="V253" s="115"/>
      <c r="W253" s="115"/>
    </row>
    <row r="254" spans="8:8">
      <c r="A254" s="120" t="s">
        <v>172</v>
      </c>
      <c r="B254" s="120"/>
      <c r="C254" s="121">
        <v>100.0</v>
      </c>
      <c r="D254" s="122">
        <f t="shared" si="68" ref="D254:J254">(SUM(C63:C119)/50)*$C$254*D124</f>
        <v>0.0</v>
      </c>
      <c r="E254" s="122">
        <f t="shared" si="68"/>
        <v>0.0</v>
      </c>
      <c r="F254" s="122">
        <f t="shared" si="68"/>
        <v>0.0</v>
      </c>
      <c r="G254" s="122">
        <f t="shared" si="68"/>
        <v>0.0</v>
      </c>
      <c r="H254" s="122">
        <f t="shared" si="68"/>
        <v>0.0</v>
      </c>
      <c r="I254" s="122">
        <f t="shared" si="68"/>
        <v>0.0</v>
      </c>
      <c r="J254" s="122">
        <f t="shared" si="68"/>
        <v>0.0</v>
      </c>
      <c r="K254" s="115"/>
      <c r="L254" s="115"/>
      <c r="M254" s="115"/>
      <c r="N254" s="115"/>
      <c r="O254" s="115"/>
      <c r="P254" s="115"/>
      <c r="Q254" s="115"/>
      <c r="R254" s="115"/>
      <c r="S254" s="115"/>
      <c r="T254" s="115"/>
      <c r="U254" s="115"/>
      <c r="V254" s="115"/>
      <c r="W254" s="115"/>
    </row>
    <row r="255" spans="8:8">
      <c r="A255" s="120"/>
      <c r="B255" s="120"/>
      <c r="C255" s="121"/>
      <c r="D255" s="479"/>
      <c r="E255" s="122"/>
      <c r="F255" s="122"/>
      <c r="G255" s="122"/>
      <c r="H255" s="122"/>
      <c r="I255" s="122"/>
      <c r="J255" s="122"/>
      <c r="K255" s="115"/>
      <c r="L255" s="115"/>
      <c r="M255" s="115"/>
      <c r="N255" s="115"/>
      <c r="O255" s="115"/>
      <c r="P255" s="115"/>
      <c r="Q255" s="115"/>
      <c r="R255" s="115"/>
      <c r="S255" s="115"/>
      <c r="T255" s="115"/>
      <c r="U255" s="115"/>
      <c r="V255" s="115"/>
      <c r="W255" s="115"/>
    </row>
    <row r="256" spans="8:8">
      <c r="A256" s="120"/>
      <c r="B256" s="120"/>
      <c r="C256" s="121"/>
      <c r="D256" s="479"/>
      <c r="E256" s="122"/>
      <c r="F256" s="122"/>
      <c r="G256" s="122"/>
      <c r="H256" s="122"/>
      <c r="I256" s="122"/>
      <c r="J256" s="122"/>
      <c r="K256" s="115"/>
      <c r="L256" s="115"/>
      <c r="M256" s="115"/>
      <c r="N256" s="115"/>
      <c r="O256" s="115"/>
      <c r="P256" s="115"/>
      <c r="Q256" s="115"/>
      <c r="R256" s="115"/>
      <c r="S256" s="115"/>
      <c r="T256" s="115"/>
      <c r="U256" s="115"/>
      <c r="V256" s="115"/>
      <c r="W256" s="115"/>
    </row>
    <row r="257" spans="8:8">
      <c r="A257" s="120"/>
      <c r="B257" s="120"/>
      <c r="C257" s="121"/>
      <c r="D257" s="479"/>
      <c r="E257" s="122"/>
      <c r="F257" s="122"/>
      <c r="G257" s="122"/>
      <c r="H257" s="122"/>
      <c r="I257" s="122"/>
      <c r="J257" s="122"/>
      <c r="K257" s="115"/>
      <c r="L257" s="115"/>
      <c r="M257" s="115"/>
      <c r="N257" s="115"/>
      <c r="O257" s="115"/>
      <c r="P257" s="115"/>
      <c r="Q257" s="115"/>
      <c r="R257" s="115"/>
      <c r="S257" s="115"/>
      <c r="T257" s="115"/>
      <c r="U257" s="115"/>
      <c r="V257" s="115"/>
      <c r="W257" s="115"/>
    </row>
    <row r="258" spans="8:8">
      <c r="A258" s="120"/>
      <c r="B258" s="120"/>
      <c r="C258" s="121"/>
      <c r="D258" s="479"/>
      <c r="E258" s="122"/>
      <c r="F258" s="122"/>
      <c r="G258" s="122"/>
      <c r="H258" s="122"/>
      <c r="I258" s="122"/>
      <c r="J258" s="122"/>
      <c r="K258" s="115"/>
      <c r="L258" s="115"/>
      <c r="M258" s="115"/>
      <c r="N258" s="115"/>
      <c r="O258" s="115"/>
      <c r="P258" s="115"/>
      <c r="Q258" s="115"/>
      <c r="R258" s="115"/>
      <c r="S258" s="115"/>
      <c r="T258" s="115"/>
      <c r="U258" s="115"/>
      <c r="V258" s="115"/>
      <c r="W258" s="115"/>
    </row>
    <row r="259" spans="8:8">
      <c r="A259" s="120" t="s">
        <v>347</v>
      </c>
      <c r="B259" s="120"/>
      <c r="C259" s="122"/>
      <c r="D259" s="479"/>
      <c r="E259" s="122">
        <f>'5.Closing Stock &amp; W Capital'!F6</f>
        <v>0.0</v>
      </c>
      <c r="F259" s="122">
        <f>'5.Closing Stock &amp; W Capital'!G6</f>
        <v>0.0</v>
      </c>
      <c r="G259" s="122">
        <f>'5.Closing Stock &amp; W Capital'!H6</f>
        <v>0.0</v>
      </c>
      <c r="H259" s="122">
        <f>'5.Closing Stock &amp; W Capital'!I6</f>
        <v>0.0</v>
      </c>
      <c r="I259" s="122">
        <f>'5.Closing Stock &amp; W Capital'!J6</f>
        <v>0.0</v>
      </c>
      <c r="J259" s="122">
        <f>'5.Closing Stock &amp; W Capital'!K6</f>
        <v>0.0</v>
      </c>
      <c r="K259" s="115"/>
      <c r="L259" s="115"/>
      <c r="M259" s="115"/>
      <c r="N259" s="115"/>
      <c r="O259" s="115"/>
      <c r="P259" s="115"/>
      <c r="Q259" s="115"/>
      <c r="R259" s="115"/>
      <c r="S259" s="115"/>
      <c r="T259" s="115"/>
      <c r="U259" s="115"/>
      <c r="V259" s="115"/>
      <c r="W259" s="115"/>
    </row>
    <row r="260" spans="8:8">
      <c r="A260" s="136" t="s">
        <v>348</v>
      </c>
      <c r="B260" s="120"/>
      <c r="C260" s="120"/>
      <c r="D260" s="479">
        <f>'5.Closing Stock &amp; W Capital'!E15</f>
        <v>0.0</v>
      </c>
      <c r="E260" s="122">
        <f>'5.Closing Stock &amp; W Capital'!F15</f>
        <v>0.0</v>
      </c>
      <c r="F260" s="122">
        <f>'5.Closing Stock &amp; W Capital'!G15</f>
        <v>0.0</v>
      </c>
      <c r="G260" s="122">
        <f>'5.Closing Stock &amp; W Capital'!H15</f>
        <v>0.0</v>
      </c>
      <c r="H260" s="122">
        <f>'5.Closing Stock &amp; W Capital'!I15</f>
        <v>0.0</v>
      </c>
      <c r="I260" s="122">
        <f>'5.Closing Stock &amp; W Capital'!J15</f>
        <v>0.0</v>
      </c>
      <c r="J260" s="122">
        <f>'5.Closing Stock &amp; W Capital'!K15</f>
        <v>0.0</v>
      </c>
      <c r="K260" s="115"/>
      <c r="L260" s="115"/>
      <c r="M260" s="115"/>
      <c r="N260" s="115"/>
      <c r="O260" s="115"/>
      <c r="P260" s="115"/>
      <c r="Q260" s="115"/>
      <c r="R260" s="115"/>
      <c r="S260" s="115"/>
      <c r="T260" s="115"/>
      <c r="U260" s="115"/>
      <c r="V260" s="115"/>
      <c r="W260" s="115"/>
    </row>
    <row r="261" spans="8:8">
      <c r="A261" s="120"/>
      <c r="B261" s="120"/>
      <c r="C261" s="120"/>
      <c r="D261" s="115"/>
      <c r="E261" s="115"/>
      <c r="F261" s="115"/>
      <c r="G261" s="115"/>
      <c r="H261" s="115"/>
      <c r="I261" s="115"/>
      <c r="J261" s="115"/>
      <c r="K261" s="115"/>
      <c r="L261" s="115"/>
      <c r="M261" s="115"/>
      <c r="N261" s="115"/>
      <c r="O261" s="115"/>
      <c r="P261" s="115"/>
      <c r="Q261" s="115"/>
      <c r="R261" s="115"/>
      <c r="S261" s="115"/>
      <c r="T261" s="115"/>
      <c r="U261" s="115"/>
      <c r="V261" s="115"/>
      <c r="W261" s="115"/>
    </row>
    <row r="262" spans="8:8">
      <c r="A262" s="123" t="s">
        <v>325</v>
      </c>
      <c r="B262" s="123"/>
      <c r="C262" s="124"/>
      <c r="D262" s="124">
        <f>SUM(D197:D258)+D259-D260</f>
        <v>0.0</v>
      </c>
      <c r="E262" s="124">
        <f t="shared" si="69" ref="E262:J262">SUM(E197:E258)+E259-E260</f>
        <v>0.0</v>
      </c>
      <c r="F262" s="124">
        <f t="shared" si="69"/>
        <v>0.0</v>
      </c>
      <c r="G262" s="124">
        <f t="shared" si="69"/>
        <v>0.0</v>
      </c>
      <c r="H262" s="124">
        <f t="shared" si="69"/>
        <v>0.0</v>
      </c>
      <c r="I262" s="124">
        <f t="shared" si="69"/>
        <v>0.0</v>
      </c>
      <c r="J262" s="124">
        <f t="shared" si="69"/>
        <v>0.0</v>
      </c>
      <c r="K262" s="115"/>
      <c r="L262" s="115"/>
      <c r="M262" s="115"/>
      <c r="N262" s="115"/>
      <c r="O262" s="115"/>
      <c r="P262" s="115"/>
      <c r="Q262" s="115"/>
      <c r="R262" s="115"/>
      <c r="S262" s="115"/>
      <c r="T262" s="115"/>
      <c r="U262" s="115"/>
      <c r="V262" s="115"/>
      <c r="W262" s="115"/>
    </row>
    <row r="263" spans="8:8">
      <c r="A263" s="120"/>
      <c r="B263" s="120"/>
      <c r="C263" s="122"/>
      <c r="D263" s="122"/>
      <c r="E263" s="122"/>
      <c r="F263" s="122"/>
      <c r="G263" s="122"/>
      <c r="H263" s="122"/>
      <c r="I263" s="122"/>
      <c r="J263" s="122"/>
      <c r="K263" s="115"/>
      <c r="L263" s="115"/>
      <c r="M263" s="115"/>
      <c r="N263" s="115"/>
      <c r="O263" s="115"/>
      <c r="P263" s="115"/>
      <c r="Q263" s="115"/>
      <c r="R263" s="115"/>
      <c r="S263" s="115"/>
      <c r="T263" s="115"/>
      <c r="U263" s="115"/>
      <c r="V263" s="115"/>
      <c r="W263" s="115"/>
    </row>
    <row r="264" spans="8:8">
      <c r="A264" s="123" t="s">
        <v>312</v>
      </c>
      <c r="B264" s="123"/>
      <c r="C264" s="122"/>
      <c r="D264" s="122"/>
      <c r="E264" s="122"/>
      <c r="F264" s="122"/>
      <c r="G264" s="122"/>
      <c r="H264" s="122"/>
      <c r="I264" s="122"/>
      <c r="J264" s="122"/>
      <c r="K264" s="115"/>
      <c r="L264" s="115"/>
      <c r="M264" s="115"/>
      <c r="N264" s="115"/>
      <c r="O264" s="115"/>
      <c r="P264" s="115"/>
      <c r="Q264" s="115"/>
      <c r="R264" s="115"/>
      <c r="S264" s="115"/>
      <c r="T264" s="115"/>
      <c r="U264" s="115"/>
      <c r="V264" s="115"/>
      <c r="W264" s="115"/>
    </row>
    <row r="265" spans="8:8">
      <c r="A265" s="120" t="s">
        <v>330</v>
      </c>
      <c r="B265" s="120">
        <v>12.0</v>
      </c>
      <c r="C265" s="121"/>
      <c r="D265" s="122">
        <f t="shared" si="70" ref="D265:J265">$B$265*$C$265*D124</f>
        <v>0.0</v>
      </c>
      <c r="E265" s="122">
        <f t="shared" si="70"/>
        <v>0.0</v>
      </c>
      <c r="F265" s="122">
        <f t="shared" si="70"/>
        <v>0.0</v>
      </c>
      <c r="G265" s="122">
        <f t="shared" si="70"/>
        <v>0.0</v>
      </c>
      <c r="H265" s="122">
        <f t="shared" si="70"/>
        <v>0.0</v>
      </c>
      <c r="I265" s="122">
        <f t="shared" si="70"/>
        <v>0.0</v>
      </c>
      <c r="J265" s="122">
        <f t="shared" si="70"/>
        <v>0.0</v>
      </c>
      <c r="K265" s="115"/>
      <c r="L265" s="115"/>
      <c r="M265" s="115"/>
      <c r="N265" s="115"/>
      <c r="O265" s="115"/>
      <c r="P265" s="115"/>
      <c r="Q265" s="115"/>
      <c r="R265" s="115"/>
      <c r="S265" s="115"/>
      <c r="T265" s="115"/>
      <c r="U265" s="115"/>
      <c r="V265" s="115"/>
      <c r="W265" s="115"/>
    </row>
    <row r="266" spans="8:8">
      <c r="A266" s="120" t="s">
        <v>331</v>
      </c>
      <c r="B266" s="79">
        <v>1.0</v>
      </c>
      <c r="C266" s="121"/>
      <c r="D266" s="122">
        <f t="shared" si="71" ref="D266:J266">$B$266*$C$266*12*D124</f>
        <v>0.0</v>
      </c>
      <c r="E266" s="122">
        <f t="shared" si="71"/>
        <v>0.0</v>
      </c>
      <c r="F266" s="122">
        <f t="shared" si="71"/>
        <v>0.0</v>
      </c>
      <c r="G266" s="122">
        <f t="shared" si="71"/>
        <v>0.0</v>
      </c>
      <c r="H266" s="122">
        <f t="shared" si="71"/>
        <v>0.0</v>
      </c>
      <c r="I266" s="122">
        <f t="shared" si="71"/>
        <v>0.0</v>
      </c>
      <c r="J266" s="122">
        <f t="shared" si="71"/>
        <v>0.0</v>
      </c>
      <c r="K266" s="115"/>
      <c r="L266" s="115"/>
      <c r="M266" s="115"/>
      <c r="N266" s="115"/>
      <c r="O266" s="115"/>
      <c r="P266" s="115"/>
      <c r="Q266" s="115"/>
      <c r="R266" s="115"/>
      <c r="S266" s="115"/>
      <c r="T266" s="115"/>
      <c r="U266" s="115"/>
      <c r="V266" s="115"/>
      <c r="W266" s="115"/>
    </row>
    <row r="267" spans="8:8">
      <c r="A267" s="120" t="s">
        <v>193</v>
      </c>
      <c r="B267" s="79">
        <v>1.0</v>
      </c>
      <c r="C267" s="121"/>
      <c r="D267" s="122">
        <f t="shared" si="72" ref="D267:J267">$B$267*$C$267*12*D124</f>
        <v>0.0</v>
      </c>
      <c r="E267" s="122">
        <f t="shared" si="72"/>
        <v>0.0</v>
      </c>
      <c r="F267" s="122">
        <f t="shared" si="72"/>
        <v>0.0</v>
      </c>
      <c r="G267" s="122">
        <f t="shared" si="72"/>
        <v>0.0</v>
      </c>
      <c r="H267" s="122">
        <f t="shared" si="72"/>
        <v>0.0</v>
      </c>
      <c r="I267" s="122">
        <f t="shared" si="72"/>
        <v>0.0</v>
      </c>
      <c r="J267" s="122">
        <f t="shared" si="72"/>
        <v>0.0</v>
      </c>
      <c r="K267" s="115"/>
      <c r="L267" s="115"/>
      <c r="M267" s="115"/>
      <c r="N267" s="115"/>
      <c r="O267" s="115"/>
      <c r="P267" s="115"/>
      <c r="Q267" s="115"/>
      <c r="R267" s="115"/>
      <c r="S267" s="115"/>
      <c r="T267" s="115"/>
      <c r="U267" s="115"/>
      <c r="V267" s="115"/>
      <c r="W267" s="115"/>
    </row>
    <row r="268" spans="8:8">
      <c r="A268" s="120" t="s">
        <v>332</v>
      </c>
      <c r="B268" s="120">
        <v>12.0</v>
      </c>
      <c r="C268" s="121"/>
      <c r="D268" s="122">
        <f t="shared" si="73" ref="D268:J268">$B$268*$C$268*D124</f>
        <v>0.0</v>
      </c>
      <c r="E268" s="122">
        <f t="shared" si="73"/>
        <v>0.0</v>
      </c>
      <c r="F268" s="122">
        <f t="shared" si="73"/>
        <v>0.0</v>
      </c>
      <c r="G268" s="122">
        <f t="shared" si="73"/>
        <v>0.0</v>
      </c>
      <c r="H268" s="122">
        <f t="shared" si="73"/>
        <v>0.0</v>
      </c>
      <c r="I268" s="122">
        <f t="shared" si="73"/>
        <v>0.0</v>
      </c>
      <c r="J268" s="122">
        <f t="shared" si="73"/>
        <v>0.0</v>
      </c>
      <c r="K268" s="115"/>
      <c r="L268" s="115"/>
      <c r="M268" s="115"/>
      <c r="N268" s="115"/>
      <c r="O268" s="115"/>
      <c r="P268" s="115"/>
      <c r="Q268" s="115"/>
      <c r="R268" s="115"/>
      <c r="S268" s="115"/>
      <c r="T268" s="115"/>
      <c r="U268" s="115"/>
      <c r="V268" s="115"/>
      <c r="W268" s="115"/>
    </row>
    <row r="269" spans="8:8">
      <c r="A269" s="120"/>
      <c r="B269" s="120"/>
      <c r="C269" s="121"/>
      <c r="D269" s="122"/>
      <c r="E269" s="122"/>
      <c r="F269" s="122"/>
      <c r="G269" s="122"/>
      <c r="H269" s="122"/>
      <c r="I269" s="122"/>
      <c r="J269" s="122"/>
      <c r="K269" s="115"/>
      <c r="L269" s="115"/>
      <c r="M269" s="115"/>
      <c r="N269" s="115"/>
      <c r="O269" s="115"/>
      <c r="P269" s="115"/>
      <c r="Q269" s="115"/>
      <c r="R269" s="115"/>
      <c r="S269" s="115"/>
      <c r="T269" s="115"/>
      <c r="U269" s="115"/>
      <c r="V269" s="115"/>
      <c r="W269" s="115"/>
    </row>
    <row r="270" spans="8:8">
      <c r="A270" s="120"/>
      <c r="B270" s="120"/>
      <c r="C270" s="121"/>
      <c r="D270" s="122"/>
      <c r="E270" s="122"/>
      <c r="F270" s="122"/>
      <c r="G270" s="122"/>
      <c r="H270" s="122"/>
      <c r="I270" s="122"/>
      <c r="J270" s="122"/>
      <c r="K270" s="115"/>
      <c r="L270" s="115"/>
      <c r="M270" s="115"/>
      <c r="N270" s="115"/>
      <c r="O270" s="115"/>
      <c r="P270" s="115"/>
      <c r="Q270" s="115"/>
      <c r="R270" s="115"/>
      <c r="S270" s="115"/>
      <c r="T270" s="115"/>
      <c r="U270" s="115"/>
      <c r="V270" s="115"/>
      <c r="W270" s="115"/>
    </row>
    <row r="271" spans="8:8">
      <c r="A271" s="120"/>
      <c r="B271" s="120"/>
      <c r="C271" s="121"/>
      <c r="D271" s="122"/>
      <c r="E271" s="122"/>
      <c r="F271" s="122"/>
      <c r="G271" s="122"/>
      <c r="H271" s="122"/>
      <c r="I271" s="122"/>
      <c r="J271" s="122"/>
      <c r="K271" s="115"/>
      <c r="L271" s="115"/>
      <c r="M271" s="115"/>
      <c r="N271" s="115"/>
      <c r="O271" s="115"/>
      <c r="P271" s="115"/>
      <c r="Q271" s="115"/>
      <c r="R271" s="115"/>
      <c r="S271" s="115"/>
      <c r="T271" s="115"/>
      <c r="U271" s="115"/>
      <c r="V271" s="115"/>
      <c r="W271" s="115"/>
    </row>
    <row r="272" spans="8:8">
      <c r="A272" s="120"/>
      <c r="B272" s="120"/>
      <c r="C272" s="121"/>
      <c r="D272" s="122"/>
      <c r="E272" s="122"/>
      <c r="F272" s="122"/>
      <c r="G272" s="122"/>
      <c r="H272" s="122"/>
      <c r="I272" s="122"/>
      <c r="J272" s="122"/>
      <c r="K272" s="115"/>
      <c r="L272" s="115"/>
      <c r="M272" s="115"/>
      <c r="N272" s="115"/>
      <c r="O272" s="115"/>
      <c r="P272" s="115"/>
      <c r="Q272" s="115"/>
      <c r="R272" s="115"/>
      <c r="S272" s="115"/>
      <c r="T272" s="115"/>
      <c r="U272" s="115"/>
      <c r="V272" s="115"/>
      <c r="W272" s="115"/>
    </row>
    <row r="273" spans="8:8">
      <c r="A273" s="123" t="s">
        <v>329</v>
      </c>
      <c r="B273" s="123"/>
      <c r="C273" s="124"/>
      <c r="D273" s="124">
        <f>SUM(D265:D272)</f>
        <v>0.0</v>
      </c>
      <c r="E273" s="124">
        <f t="shared" si="74" ref="E273:J273">SUM(E265:E272)</f>
        <v>0.0</v>
      </c>
      <c r="F273" s="124">
        <f t="shared" si="74"/>
        <v>0.0</v>
      </c>
      <c r="G273" s="124">
        <f t="shared" si="74"/>
        <v>0.0</v>
      </c>
      <c r="H273" s="124">
        <f t="shared" si="74"/>
        <v>0.0</v>
      </c>
      <c r="I273" s="124">
        <f t="shared" si="74"/>
        <v>0.0</v>
      </c>
      <c r="J273" s="124">
        <f t="shared" si="74"/>
        <v>0.0</v>
      </c>
      <c r="K273" s="115"/>
      <c r="L273" s="115"/>
      <c r="M273" s="115"/>
      <c r="N273" s="115"/>
      <c r="O273" s="115"/>
      <c r="P273" s="115"/>
      <c r="Q273" s="115"/>
      <c r="R273" s="115"/>
      <c r="S273" s="115"/>
      <c r="T273" s="115"/>
      <c r="U273" s="115"/>
      <c r="V273" s="115"/>
      <c r="W273" s="115"/>
    </row>
    <row r="274" spans="8:8">
      <c r="A274" s="459" t="s">
        <v>136</v>
      </c>
      <c r="B274" s="459"/>
      <c r="C274" s="480"/>
      <c r="D274" s="124">
        <f t="shared" si="75" ref="D274:J274">D262+D273</f>
        <v>0.0</v>
      </c>
      <c r="E274" s="124">
        <f t="shared" si="75"/>
        <v>0.0</v>
      </c>
      <c r="F274" s="124">
        <f t="shared" si="75"/>
        <v>0.0</v>
      </c>
      <c r="G274" s="124">
        <f t="shared" si="75"/>
        <v>0.0</v>
      </c>
      <c r="H274" s="124">
        <f t="shared" si="75"/>
        <v>0.0</v>
      </c>
      <c r="I274" s="124">
        <f t="shared" si="75"/>
        <v>0.0</v>
      </c>
      <c r="J274" s="124">
        <f t="shared" si="75"/>
        <v>0.0</v>
      </c>
      <c r="K274" s="115"/>
      <c r="L274" s="115"/>
      <c r="M274" s="115"/>
      <c r="N274" s="115"/>
      <c r="O274" s="115"/>
      <c r="P274" s="115"/>
      <c r="Q274" s="115"/>
      <c r="R274" s="115"/>
      <c r="S274" s="115"/>
      <c r="T274" s="115"/>
      <c r="U274" s="115"/>
      <c r="V274" s="115"/>
      <c r="W274" s="115"/>
    </row>
    <row r="275" spans="8:8">
      <c r="A275" s="120"/>
      <c r="B275" s="120"/>
      <c r="C275" s="122"/>
      <c r="D275" s="122"/>
      <c r="E275" s="122"/>
      <c r="F275" s="122"/>
      <c r="G275" s="122"/>
      <c r="H275" s="122"/>
      <c r="I275" s="122"/>
      <c r="J275" s="122"/>
      <c r="K275" s="115"/>
      <c r="L275" s="115"/>
      <c r="M275" s="115"/>
      <c r="N275" s="115"/>
      <c r="O275" s="115"/>
      <c r="P275" s="115"/>
      <c r="Q275" s="115"/>
      <c r="R275" s="115"/>
      <c r="S275" s="115"/>
      <c r="T275" s="115"/>
      <c r="U275" s="115"/>
      <c r="V275" s="115"/>
      <c r="W275" s="115"/>
    </row>
    <row r="276" spans="8:8">
      <c r="A276" s="459" t="s">
        <v>7</v>
      </c>
      <c r="B276" s="459"/>
      <c r="C276" s="480"/>
      <c r="D276" s="124">
        <f t="shared" si="76" ref="D276:J276">D191-D274</f>
        <v>0.0</v>
      </c>
      <c r="E276" s="124">
        <f t="shared" si="76"/>
        <v>0.0</v>
      </c>
      <c r="F276" s="124">
        <f t="shared" si="76"/>
        <v>0.0</v>
      </c>
      <c r="G276" s="124">
        <f t="shared" si="76"/>
        <v>0.0</v>
      </c>
      <c r="H276" s="124">
        <f t="shared" si="76"/>
        <v>0.0</v>
      </c>
      <c r="I276" s="124">
        <f t="shared" si="76"/>
        <v>0.0</v>
      </c>
      <c r="J276" s="124">
        <f t="shared" si="76"/>
        <v>0.0</v>
      </c>
      <c r="K276" s="115"/>
      <c r="L276" s="115"/>
      <c r="M276" s="115"/>
      <c r="N276" s="115"/>
      <c r="O276" s="115"/>
      <c r="P276" s="115"/>
      <c r="Q276" s="115"/>
      <c r="R276" s="115"/>
      <c r="S276" s="115"/>
      <c r="T276" s="115"/>
      <c r="U276" s="115"/>
      <c r="V276" s="115"/>
      <c r="W276" s="115"/>
    </row>
    <row r="277" spans="8:8">
      <c r="A277" s="317"/>
      <c r="B277" s="317"/>
      <c r="C277" s="317"/>
      <c r="D277" s="115"/>
      <c r="E277" s="115"/>
      <c r="F277" s="115"/>
      <c r="G277" s="115"/>
      <c r="H277" s="115"/>
      <c r="I277" s="115"/>
      <c r="J277" s="115"/>
      <c r="K277" s="115"/>
      <c r="L277" s="115"/>
      <c r="M277" s="115"/>
      <c r="N277" s="115"/>
      <c r="O277" s="115"/>
      <c r="P277" s="115"/>
      <c r="Q277" s="115"/>
      <c r="R277" s="115"/>
      <c r="S277" s="115"/>
      <c r="T277" s="115"/>
      <c r="U277" s="115"/>
      <c r="V277" s="115"/>
      <c r="W277" s="115"/>
    </row>
    <row r="278" spans="8:8">
      <c r="A278" s="115"/>
      <c r="B278" s="115"/>
      <c r="C278" s="115"/>
      <c r="D278" s="115"/>
      <c r="E278" s="115"/>
      <c r="F278" s="115"/>
      <c r="G278" s="115"/>
      <c r="H278" s="115"/>
      <c r="I278" s="115"/>
      <c r="J278" s="115"/>
      <c r="K278" s="115"/>
      <c r="L278" s="115"/>
      <c r="M278" s="115"/>
      <c r="N278" s="115"/>
      <c r="O278" s="115"/>
      <c r="P278" s="115"/>
      <c r="Q278" s="115"/>
      <c r="R278" s="115"/>
      <c r="S278" s="115"/>
      <c r="T278" s="115"/>
      <c r="U278" s="115"/>
      <c r="V278" s="115"/>
      <c r="W278" s="115"/>
    </row>
    <row r="279" spans="8:8">
      <c r="A279" s="49" t="s">
        <v>429</v>
      </c>
      <c r="B279" s="49"/>
      <c r="C279" s="49"/>
      <c r="D279" s="49"/>
      <c r="E279" s="49"/>
      <c r="F279" s="49"/>
      <c r="G279" s="49"/>
      <c r="H279" s="49"/>
      <c r="I279" s="49"/>
      <c r="J279" s="49"/>
    </row>
    <row r="281" spans="8:8">
      <c r="A281" t="s">
        <v>553</v>
      </c>
    </row>
    <row r="282" spans="8:8">
      <c r="A282">
        <v>1.0</v>
      </c>
      <c r="B282" t="s">
        <v>566</v>
      </c>
    </row>
    <row r="283" spans="8:8">
      <c r="A283">
        <v>2.0</v>
      </c>
      <c r="B283" t="s">
        <v>567</v>
      </c>
    </row>
    <row r="284" spans="8:8">
      <c r="A284">
        <v>3.0</v>
      </c>
      <c r="B284" s="115" t="s">
        <v>619</v>
      </c>
    </row>
  </sheetData>
  <mergeCells count="3">
    <mergeCell ref="A122:J122"/>
    <mergeCell ref="A279:J279"/>
    <mergeCell ref="A2:I2"/>
  </mergeCells>
  <pageMargins left="0.33" right="0.18" top="0.75" bottom="0.75" header="0.3" footer="0.3"/>
  <pageSetup paperSize="9" scale="60"/>
</worksheet>
</file>

<file path=xl/worksheets/sheet18.xml><?xml version="1.0" encoding="utf-8"?>
<worksheet xmlns:r="http://schemas.openxmlformats.org/officeDocument/2006/relationships" xmlns="http://schemas.openxmlformats.org/spreadsheetml/2006/main">
  <dimension ref="A2:K197"/>
  <sheetViews>
    <sheetView workbookViewId="0" zoomScale="80">
      <selection activeCell="C16" sqref="C16"/>
    </sheetView>
  </sheetViews>
  <sheetFormatPr defaultRowHeight="15.0" defaultColWidth="10"/>
  <cols>
    <col min="1" max="1" customWidth="1" bestFit="1" width="41.85547" style="0"/>
    <col min="2" max="2" customWidth="1" bestFit="1" width="11.5703125" style="0"/>
    <col min="3" max="3" customWidth="1" bestFit="1" width="12.5703125" style="0"/>
    <col min="4" max="4" customWidth="1" width="15.140625" style="0"/>
    <col min="5" max="8" customWidth="1" width="17.140625" style="0"/>
    <col min="9" max="10" customWidth="1" bestFit="1" width="16.855469" style="0"/>
  </cols>
  <sheetData>
    <row r="3" spans="8:8" ht="18.75">
      <c r="A3" s="30" t="s">
        <v>614</v>
      </c>
      <c r="B3" s="30"/>
      <c r="C3" s="30"/>
      <c r="D3" s="30"/>
      <c r="E3" s="30"/>
      <c r="F3" s="30"/>
      <c r="G3" s="30"/>
      <c r="H3" s="30"/>
    </row>
    <row r="4" spans="8:8" ht="18.75">
      <c r="A4" s="30" t="s">
        <v>615</v>
      </c>
      <c r="B4" s="30"/>
      <c r="C4" s="30"/>
      <c r="D4" s="30"/>
      <c r="E4" s="30"/>
      <c r="F4" s="30"/>
      <c r="G4" s="30"/>
      <c r="H4" s="30"/>
    </row>
    <row r="5" spans="8:8">
      <c r="A5" s="115" t="s">
        <v>161</v>
      </c>
      <c r="B5" s="424">
        <v>1.0</v>
      </c>
      <c r="C5" s="115" t="s">
        <v>483</v>
      </c>
      <c r="D5" s="115"/>
      <c r="E5" s="115"/>
      <c r="F5" s="115"/>
      <c r="G5" s="115"/>
      <c r="H5" s="115"/>
    </row>
    <row r="6" spans="8:8">
      <c r="A6" s="115" t="s">
        <v>162</v>
      </c>
      <c r="B6" s="425">
        <v>8.0</v>
      </c>
      <c r="C6" s="115"/>
      <c r="D6" s="115"/>
      <c r="E6" s="115"/>
      <c r="F6" s="115"/>
      <c r="G6" s="115"/>
      <c r="H6" s="115"/>
    </row>
    <row r="7" spans="8:8">
      <c r="A7" s="115"/>
      <c r="B7" s="425"/>
      <c r="C7" s="115"/>
      <c r="D7" s="115"/>
      <c r="E7" s="115"/>
      <c r="F7" s="115"/>
      <c r="G7" s="115"/>
      <c r="H7" s="115"/>
    </row>
    <row r="8" spans="8:8">
      <c r="A8" s="115"/>
      <c r="B8" s="425"/>
      <c r="C8" s="115"/>
      <c r="D8" s="115"/>
      <c r="E8" s="115"/>
      <c r="F8" s="115"/>
      <c r="G8" s="115"/>
      <c r="H8" s="115"/>
    </row>
    <row r="9" spans="8:8">
      <c r="A9" s="115"/>
      <c r="B9" s="115"/>
      <c r="C9" s="115"/>
      <c r="D9" s="115"/>
      <c r="E9" s="115"/>
      <c r="F9" s="115"/>
      <c r="G9" s="115"/>
      <c r="H9" s="115"/>
    </row>
    <row r="10" spans="8:8">
      <c r="A10" s="115"/>
      <c r="B10" s="115"/>
      <c r="C10" s="115"/>
      <c r="D10" s="115"/>
      <c r="E10" s="115"/>
      <c r="F10" s="115"/>
      <c r="G10" s="115"/>
      <c r="H10" s="115"/>
    </row>
    <row r="11" spans="8:8">
      <c r="A11" s="195" t="s">
        <v>0</v>
      </c>
      <c r="B11" s="196" t="s">
        <v>2</v>
      </c>
      <c r="C11" s="196" t="s">
        <v>3</v>
      </c>
      <c r="D11" s="196" t="s">
        <v>4</v>
      </c>
      <c r="E11" s="196" t="s">
        <v>5</v>
      </c>
      <c r="F11" s="196" t="s">
        <v>6</v>
      </c>
      <c r="G11" s="196" t="s">
        <v>169</v>
      </c>
      <c r="H11" s="196" t="s">
        <v>168</v>
      </c>
    </row>
    <row r="12" spans="8:8">
      <c r="A12" s="120" t="s">
        <v>170</v>
      </c>
      <c r="B12" s="445">
        <f t="shared" si="0" ref="B12:H12">B39/($B$5*$B$6)</f>
        <v>0.0</v>
      </c>
      <c r="C12" s="445">
        <f t="shared" si="0"/>
        <v>0.0</v>
      </c>
      <c r="D12" s="445">
        <f t="shared" si="0"/>
        <v>0.0</v>
      </c>
      <c r="E12" s="445">
        <f t="shared" si="0"/>
        <v>0.0</v>
      </c>
      <c r="F12" s="445">
        <f t="shared" si="0"/>
        <v>0.0</v>
      </c>
      <c r="G12" s="445">
        <f t="shared" si="0"/>
        <v>0.0</v>
      </c>
      <c r="H12" s="445">
        <f t="shared" si="0"/>
        <v>0.0</v>
      </c>
    </row>
    <row r="13" spans="8:8">
      <c r="A13" s="120" t="str">
        <f>'11.F&amp;V Crop Production details'!A74</f>
        <v>Onion</v>
      </c>
      <c r="B13" s="120">
        <f>'11.F&amp;V Crop Production details'!B74</f>
        <v>0.0</v>
      </c>
      <c r="C13" s="120">
        <f>'11.F&amp;V Crop Production details'!C74</f>
        <v>0.0</v>
      </c>
      <c r="D13" s="120">
        <f>'11.F&amp;V Crop Production details'!D74</f>
        <v>0.0</v>
      </c>
      <c r="E13" s="120">
        <f>'11.F&amp;V Crop Production details'!E74</f>
        <v>0.0</v>
      </c>
      <c r="F13" s="120">
        <f>'11.F&amp;V Crop Production details'!F74</f>
        <v>0.0</v>
      </c>
      <c r="G13" s="120">
        <f>'11.F&amp;V Crop Production details'!G74</f>
        <v>0.0</v>
      </c>
      <c r="H13" s="120">
        <f>'11.F&amp;V Crop Production details'!H74</f>
        <v>0.0</v>
      </c>
    </row>
    <row r="14" spans="8:8">
      <c r="A14" s="120" t="str">
        <f>'11.F&amp;V Crop Production details'!A75</f>
        <v>Tomato</v>
      </c>
      <c r="B14" s="120">
        <f>'11.F&amp;V Crop Production details'!B75</f>
        <v>0.0</v>
      </c>
      <c r="C14" s="120">
        <f>'11.F&amp;V Crop Production details'!C75</f>
        <v>0.0</v>
      </c>
      <c r="D14" s="120">
        <f>'11.F&amp;V Crop Production details'!D75</f>
        <v>0.0</v>
      </c>
      <c r="E14" s="120">
        <f>'11.F&amp;V Crop Production details'!E75</f>
        <v>0.0</v>
      </c>
      <c r="F14" s="120">
        <f>'11.F&amp;V Crop Production details'!F75</f>
        <v>0.0</v>
      </c>
      <c r="G14" s="120">
        <f>'11.F&amp;V Crop Production details'!G75</f>
        <v>0.0</v>
      </c>
      <c r="H14" s="120">
        <f>'11.F&amp;V Crop Production details'!H75</f>
        <v>0.0</v>
      </c>
    </row>
    <row r="15" spans="8:8">
      <c r="A15" s="120" t="str">
        <f>'11.F&amp;V Crop Production details'!A76</f>
        <v>Okra</v>
      </c>
      <c r="B15" s="120">
        <f>'11.F&amp;V Crop Production details'!B76</f>
        <v>0.0</v>
      </c>
      <c r="C15" s="120">
        <f>'11.F&amp;V Crop Production details'!C76</f>
        <v>0.0</v>
      </c>
      <c r="D15" s="120">
        <f>'11.F&amp;V Crop Production details'!D76</f>
        <v>0.0</v>
      </c>
      <c r="E15" s="120">
        <f>'11.F&amp;V Crop Production details'!E76</f>
        <v>0.0</v>
      </c>
      <c r="F15" s="120">
        <f>'11.F&amp;V Crop Production details'!F76</f>
        <v>0.0</v>
      </c>
      <c r="G15" s="120">
        <f>'11.F&amp;V Crop Production details'!G76</f>
        <v>0.0</v>
      </c>
      <c r="H15" s="120">
        <f>'11.F&amp;V Crop Production details'!H76</f>
        <v>0.0</v>
      </c>
    </row>
    <row r="16" spans="8:8">
      <c r="A16" s="120" t="str">
        <f>'11.F&amp;V Crop Production details'!A77</f>
        <v>Chilli</v>
      </c>
      <c r="B16" s="120">
        <f>'11.F&amp;V Crop Production details'!B77</f>
        <v>0.0</v>
      </c>
      <c r="C16" s="120">
        <f>'11.F&amp;V Crop Production details'!C77</f>
        <v>0.0</v>
      </c>
      <c r="D16" s="120">
        <f>'11.F&amp;V Crop Production details'!D77</f>
        <v>0.0</v>
      </c>
      <c r="E16" s="120">
        <f>'11.F&amp;V Crop Production details'!E77</f>
        <v>0.0</v>
      </c>
      <c r="F16" s="120">
        <f>'11.F&amp;V Crop Production details'!F77</f>
        <v>0.0</v>
      </c>
      <c r="G16" s="120">
        <f>'11.F&amp;V Crop Production details'!G77</f>
        <v>0.0</v>
      </c>
      <c r="H16" s="120">
        <f>'11.F&amp;V Crop Production details'!H77</f>
        <v>0.0</v>
      </c>
    </row>
    <row r="17" spans="8:8">
      <c r="A17" s="120" t="str">
        <f>'11.F&amp;V Crop Production details'!A78</f>
        <v>Potato</v>
      </c>
      <c r="B17" s="120">
        <f>'11.F&amp;V Crop Production details'!B78</f>
        <v>0.0</v>
      </c>
      <c r="C17" s="120">
        <f>'11.F&amp;V Crop Production details'!C78</f>
        <v>0.0</v>
      </c>
      <c r="D17" s="120">
        <f>'11.F&amp;V Crop Production details'!D78</f>
        <v>0.0</v>
      </c>
      <c r="E17" s="120">
        <f>'11.F&amp;V Crop Production details'!E78</f>
        <v>0.0</v>
      </c>
      <c r="F17" s="120">
        <f>'11.F&amp;V Crop Production details'!F78</f>
        <v>0.0</v>
      </c>
      <c r="G17" s="120">
        <f>'11.F&amp;V Crop Production details'!G78</f>
        <v>0.0</v>
      </c>
      <c r="H17" s="120">
        <f>'11.F&amp;V Crop Production details'!H78</f>
        <v>0.0</v>
      </c>
    </row>
    <row r="18" spans="8:8">
      <c r="A18" s="120">
        <f>'11.F&amp;V Crop Production details'!A79</f>
        <v>0.0</v>
      </c>
      <c r="B18" s="120">
        <f>'11.F&amp;V Crop Production details'!B79</f>
        <v>0.0</v>
      </c>
      <c r="C18" s="120">
        <f>'11.F&amp;V Crop Production details'!C79</f>
        <v>0.0</v>
      </c>
      <c r="D18" s="120">
        <f>'11.F&amp;V Crop Production details'!D79</f>
        <v>0.0</v>
      </c>
      <c r="E18" s="120">
        <f>'11.F&amp;V Crop Production details'!E79</f>
        <v>0.0</v>
      </c>
      <c r="F18" s="120">
        <f>'11.F&amp;V Crop Production details'!F79</f>
        <v>0.0</v>
      </c>
      <c r="G18" s="120">
        <f>'11.F&amp;V Crop Production details'!G79</f>
        <v>0.0</v>
      </c>
      <c r="H18" s="120">
        <f>'11.F&amp;V Crop Production details'!H79</f>
        <v>0.0</v>
      </c>
    </row>
    <row r="19" spans="8:8">
      <c r="A19" s="120">
        <f>'11.F&amp;V Crop Production details'!A80</f>
        <v>0.0</v>
      </c>
      <c r="B19" s="120">
        <f>'11.F&amp;V Crop Production details'!B80</f>
        <v>0.0</v>
      </c>
      <c r="C19" s="120">
        <f>'11.F&amp;V Crop Production details'!C80</f>
        <v>0.0</v>
      </c>
      <c r="D19" s="120">
        <f>'11.F&amp;V Crop Production details'!D80</f>
        <v>0.0</v>
      </c>
      <c r="E19" s="120">
        <f>'11.F&amp;V Crop Production details'!E80</f>
        <v>0.0</v>
      </c>
      <c r="F19" s="120">
        <f>'11.F&amp;V Crop Production details'!F80</f>
        <v>0.0</v>
      </c>
      <c r="G19" s="120">
        <f>'11.F&amp;V Crop Production details'!G80</f>
        <v>0.0</v>
      </c>
      <c r="H19" s="120">
        <f>'11.F&amp;V Crop Production details'!H80</f>
        <v>0.0</v>
      </c>
    </row>
    <row r="20" spans="8:8">
      <c r="A20" s="120">
        <f>'11.F&amp;V Crop Production details'!A81</f>
        <v>0.0</v>
      </c>
      <c r="B20" s="120">
        <f>'11.F&amp;V Crop Production details'!B81</f>
        <v>0.0</v>
      </c>
      <c r="C20" s="120">
        <f>'11.F&amp;V Crop Production details'!C81</f>
        <v>0.0</v>
      </c>
      <c r="D20" s="120">
        <f>'11.F&amp;V Crop Production details'!D81</f>
        <v>0.0</v>
      </c>
      <c r="E20" s="120">
        <f>'11.F&amp;V Crop Production details'!E81</f>
        <v>0.0</v>
      </c>
      <c r="F20" s="120">
        <f>'11.F&amp;V Crop Production details'!F81</f>
        <v>0.0</v>
      </c>
      <c r="G20" s="120">
        <f>'11.F&amp;V Crop Production details'!G81</f>
        <v>0.0</v>
      </c>
      <c r="H20" s="120">
        <f>'11.F&amp;V Crop Production details'!H81</f>
        <v>0.0</v>
      </c>
    </row>
    <row r="21" spans="8:8">
      <c r="A21" s="120">
        <f>'11.F&amp;V Crop Production details'!A82</f>
        <v>0.0</v>
      </c>
      <c r="B21" s="120">
        <f>'11.F&amp;V Crop Production details'!B82</f>
        <v>0.0</v>
      </c>
      <c r="C21" s="120">
        <f>'11.F&amp;V Crop Production details'!C82</f>
        <v>0.0</v>
      </c>
      <c r="D21" s="120">
        <f>'11.F&amp;V Crop Production details'!D82</f>
        <v>0.0</v>
      </c>
      <c r="E21" s="120">
        <f>'11.F&amp;V Crop Production details'!E82</f>
        <v>0.0</v>
      </c>
      <c r="F21" s="120">
        <f>'11.F&amp;V Crop Production details'!F82</f>
        <v>0.0</v>
      </c>
      <c r="G21" s="120">
        <f>'11.F&amp;V Crop Production details'!G82</f>
        <v>0.0</v>
      </c>
      <c r="H21" s="120">
        <f>'11.F&amp;V Crop Production details'!H82</f>
        <v>0.0</v>
      </c>
    </row>
    <row r="22" spans="8:8">
      <c r="A22" s="120" t="str">
        <f>'11.F&amp;V Crop Production details'!A83</f>
        <v>Onion</v>
      </c>
      <c r="B22" s="120">
        <f>'11.F&amp;V Crop Production details'!B83</f>
        <v>0.0</v>
      </c>
      <c r="C22" s="120">
        <f>'11.F&amp;V Crop Production details'!C83</f>
        <v>0.0</v>
      </c>
      <c r="D22" s="120">
        <f>'11.F&amp;V Crop Production details'!D83</f>
        <v>0.0</v>
      </c>
      <c r="E22" s="120">
        <f>'11.F&amp;V Crop Production details'!E83</f>
        <v>0.0</v>
      </c>
      <c r="F22" s="120">
        <f>'11.F&amp;V Crop Production details'!F83</f>
        <v>0.0</v>
      </c>
      <c r="G22" s="120">
        <f>'11.F&amp;V Crop Production details'!G83</f>
        <v>0.0</v>
      </c>
      <c r="H22" s="120">
        <f>'11.F&amp;V Crop Production details'!H83</f>
        <v>0.0</v>
      </c>
    </row>
    <row r="23" spans="8:8">
      <c r="A23" s="120" t="str">
        <f>'11.F&amp;V Crop Production details'!A84</f>
        <v>Tomato</v>
      </c>
      <c r="B23" s="120">
        <f>'11.F&amp;V Crop Production details'!B84</f>
        <v>0.0</v>
      </c>
      <c r="C23" s="120">
        <f>'11.F&amp;V Crop Production details'!C84</f>
        <v>0.0</v>
      </c>
      <c r="D23" s="120">
        <f>'11.F&amp;V Crop Production details'!D84</f>
        <v>0.0</v>
      </c>
      <c r="E23" s="120">
        <f>'11.F&amp;V Crop Production details'!E84</f>
        <v>0.0</v>
      </c>
      <c r="F23" s="120">
        <f>'11.F&amp;V Crop Production details'!F84</f>
        <v>0.0</v>
      </c>
      <c r="G23" s="120">
        <f>'11.F&amp;V Crop Production details'!G84</f>
        <v>0.0</v>
      </c>
      <c r="H23" s="120">
        <f>'11.F&amp;V Crop Production details'!H84</f>
        <v>0.0</v>
      </c>
    </row>
    <row r="24" spans="8:8">
      <c r="A24" s="120" t="str">
        <f>'11.F&amp;V Crop Production details'!A85</f>
        <v>Okra</v>
      </c>
      <c r="B24" s="120">
        <f>'11.F&amp;V Crop Production details'!B85</f>
        <v>0.0</v>
      </c>
      <c r="C24" s="120">
        <f>'11.F&amp;V Crop Production details'!C85</f>
        <v>0.0</v>
      </c>
      <c r="D24" s="120">
        <f>'11.F&amp;V Crop Production details'!D85</f>
        <v>0.0</v>
      </c>
      <c r="E24" s="120">
        <f>'11.F&amp;V Crop Production details'!E85</f>
        <v>0.0</v>
      </c>
      <c r="F24" s="120">
        <f>'11.F&amp;V Crop Production details'!F85</f>
        <v>0.0</v>
      </c>
      <c r="G24" s="120">
        <f>'11.F&amp;V Crop Production details'!G85</f>
        <v>0.0</v>
      </c>
      <c r="H24" s="120">
        <f>'11.F&amp;V Crop Production details'!H85</f>
        <v>0.0</v>
      </c>
    </row>
    <row r="25" spans="8:8">
      <c r="A25" s="120" t="str">
        <f>'11.F&amp;V Crop Production details'!A86</f>
        <v>Chilli</v>
      </c>
      <c r="B25" s="120">
        <f>'11.F&amp;V Crop Production details'!B86</f>
        <v>0.0</v>
      </c>
      <c r="C25" s="120">
        <f>'11.F&amp;V Crop Production details'!C86</f>
        <v>0.0</v>
      </c>
      <c r="D25" s="120">
        <f>'11.F&amp;V Crop Production details'!D86</f>
        <v>0.0</v>
      </c>
      <c r="E25" s="120">
        <f>'11.F&amp;V Crop Production details'!E86</f>
        <v>0.0</v>
      </c>
      <c r="F25" s="120">
        <f>'11.F&amp;V Crop Production details'!F86</f>
        <v>0.0</v>
      </c>
      <c r="G25" s="120">
        <f>'11.F&amp;V Crop Production details'!G86</f>
        <v>0.0</v>
      </c>
      <c r="H25" s="120">
        <f>'11.F&amp;V Crop Production details'!H86</f>
        <v>0.0</v>
      </c>
    </row>
    <row r="26" spans="8:8">
      <c r="A26" s="120" t="str">
        <f>'11.F&amp;V Crop Production details'!A87</f>
        <v>Brinjal</v>
      </c>
      <c r="B26" s="120">
        <f>'11.F&amp;V Crop Production details'!B87</f>
        <v>0.0</v>
      </c>
      <c r="C26" s="120">
        <f>'11.F&amp;V Crop Production details'!C87</f>
        <v>0.0</v>
      </c>
      <c r="D26" s="120">
        <f>'11.F&amp;V Crop Production details'!D87</f>
        <v>0.0</v>
      </c>
      <c r="E26" s="120">
        <f>'11.F&amp;V Crop Production details'!E87</f>
        <v>0.0</v>
      </c>
      <c r="F26" s="120">
        <f>'11.F&amp;V Crop Production details'!F87</f>
        <v>0.0</v>
      </c>
      <c r="G26" s="120">
        <f>'11.F&amp;V Crop Production details'!G87</f>
        <v>0.0</v>
      </c>
      <c r="H26" s="120">
        <f>'11.F&amp;V Crop Production details'!H87</f>
        <v>0.0</v>
      </c>
    </row>
    <row r="27" spans="8:8">
      <c r="A27" s="120">
        <f>'11.F&amp;V Crop Production details'!A88</f>
        <v>0.0</v>
      </c>
      <c r="B27" s="120">
        <f>'11.F&amp;V Crop Production details'!B88</f>
        <v>0.0</v>
      </c>
      <c r="C27" s="120">
        <f>'11.F&amp;V Crop Production details'!C88</f>
        <v>0.0</v>
      </c>
      <c r="D27" s="120">
        <f>'11.F&amp;V Crop Production details'!D88</f>
        <v>0.0</v>
      </c>
      <c r="E27" s="120">
        <f>'11.F&amp;V Crop Production details'!E88</f>
        <v>0.0</v>
      </c>
      <c r="F27" s="120">
        <f>'11.F&amp;V Crop Production details'!F88</f>
        <v>0.0</v>
      </c>
      <c r="G27" s="120">
        <f>'11.F&amp;V Crop Production details'!G88</f>
        <v>0.0</v>
      </c>
      <c r="H27" s="120">
        <f>'11.F&amp;V Crop Production details'!H88</f>
        <v>0.0</v>
      </c>
    </row>
    <row r="28" spans="8:8">
      <c r="A28" s="120">
        <f>'11.F&amp;V Crop Production details'!A89</f>
        <v>0.0</v>
      </c>
      <c r="B28" s="120">
        <f>'11.F&amp;V Crop Production details'!B89</f>
        <v>0.0</v>
      </c>
      <c r="C28" s="120">
        <f>'11.F&amp;V Crop Production details'!C89</f>
        <v>0.0</v>
      </c>
      <c r="D28" s="120">
        <f>'11.F&amp;V Crop Production details'!D89</f>
        <v>0.0</v>
      </c>
      <c r="E28" s="120">
        <f>'11.F&amp;V Crop Production details'!E89</f>
        <v>0.0</v>
      </c>
      <c r="F28" s="120">
        <f>'11.F&amp;V Crop Production details'!F89</f>
        <v>0.0</v>
      </c>
      <c r="G28" s="120">
        <f>'11.F&amp;V Crop Production details'!G89</f>
        <v>0.0</v>
      </c>
      <c r="H28" s="120">
        <f>'11.F&amp;V Crop Production details'!H89</f>
        <v>0.0</v>
      </c>
    </row>
    <row r="29" spans="8:8">
      <c r="A29" s="120">
        <f>'11.F&amp;V Crop Production details'!A90</f>
        <v>0.0</v>
      </c>
      <c r="B29" s="120">
        <f>'11.F&amp;V Crop Production details'!B90</f>
        <v>0.0</v>
      </c>
      <c r="C29" s="120">
        <f>'11.F&amp;V Crop Production details'!C90</f>
        <v>0.0</v>
      </c>
      <c r="D29" s="120">
        <f>'11.F&amp;V Crop Production details'!D90</f>
        <v>0.0</v>
      </c>
      <c r="E29" s="120">
        <f>'11.F&amp;V Crop Production details'!E90</f>
        <v>0.0</v>
      </c>
      <c r="F29" s="120">
        <f>'11.F&amp;V Crop Production details'!F90</f>
        <v>0.0</v>
      </c>
      <c r="G29" s="120">
        <f>'11.F&amp;V Crop Production details'!G90</f>
        <v>0.0</v>
      </c>
      <c r="H29" s="120">
        <f>'11.F&amp;V Crop Production details'!H90</f>
        <v>0.0</v>
      </c>
    </row>
    <row r="30" spans="8:8">
      <c r="A30" s="120">
        <f>'11.F&amp;V Crop Production details'!A91</f>
        <v>0.0</v>
      </c>
      <c r="B30" s="120">
        <f>'11.F&amp;V Crop Production details'!B91</f>
        <v>0.0</v>
      </c>
      <c r="C30" s="120">
        <f>'11.F&amp;V Crop Production details'!C91</f>
        <v>0.0</v>
      </c>
      <c r="D30" s="120">
        <f>'11.F&amp;V Crop Production details'!D91</f>
        <v>0.0</v>
      </c>
      <c r="E30" s="120">
        <f>'11.F&amp;V Crop Production details'!E91</f>
        <v>0.0</v>
      </c>
      <c r="F30" s="120">
        <f>'11.F&amp;V Crop Production details'!F91</f>
        <v>0.0</v>
      </c>
      <c r="G30" s="120">
        <f>'11.F&amp;V Crop Production details'!G91</f>
        <v>0.0</v>
      </c>
      <c r="H30" s="120">
        <f>'11.F&amp;V Crop Production details'!H91</f>
        <v>0.0</v>
      </c>
    </row>
    <row r="31" spans="8:8">
      <c r="A31" s="120">
        <f>'11.F&amp;V Crop Production details'!A92</f>
        <v>0.0</v>
      </c>
      <c r="B31" s="120">
        <f>'11.F&amp;V Crop Production details'!B92</f>
        <v>0.0</v>
      </c>
      <c r="C31" s="120">
        <f>'11.F&amp;V Crop Production details'!C92</f>
        <v>0.0</v>
      </c>
      <c r="D31" s="120">
        <f>'11.F&amp;V Crop Production details'!D92</f>
        <v>0.0</v>
      </c>
      <c r="E31" s="120">
        <f>'11.F&amp;V Crop Production details'!E92</f>
        <v>0.0</v>
      </c>
      <c r="F31" s="120">
        <f>'11.F&amp;V Crop Production details'!F92</f>
        <v>0.0</v>
      </c>
      <c r="G31" s="120">
        <f>'11.F&amp;V Crop Production details'!G92</f>
        <v>0.0</v>
      </c>
      <c r="H31" s="120">
        <f>'11.F&amp;V Crop Production details'!H92</f>
        <v>0.0</v>
      </c>
    </row>
    <row r="32" spans="8:8">
      <c r="A32" s="120">
        <f>'11.F&amp;V Crop Production details'!A93</f>
        <v>0.0</v>
      </c>
      <c r="B32" s="120">
        <f>'11.F&amp;V Crop Production details'!B93</f>
        <v>0.0</v>
      </c>
      <c r="C32" s="120">
        <f>'11.F&amp;V Crop Production details'!C93</f>
        <v>0.0</v>
      </c>
      <c r="D32" s="120">
        <f>'11.F&amp;V Crop Production details'!D93</f>
        <v>0.0</v>
      </c>
      <c r="E32" s="120">
        <f>'11.F&amp;V Crop Production details'!E93</f>
        <v>0.0</v>
      </c>
      <c r="F32" s="120">
        <f>'11.F&amp;V Crop Production details'!F93</f>
        <v>0.0</v>
      </c>
      <c r="G32" s="120">
        <f>'11.F&amp;V Crop Production details'!G93</f>
        <v>0.0</v>
      </c>
      <c r="H32" s="120">
        <f>'11.F&amp;V Crop Production details'!H93</f>
        <v>0.0</v>
      </c>
    </row>
    <row r="33" spans="8:8">
      <c r="A33" s="120">
        <f>'11.F&amp;V Crop Production details'!A94</f>
        <v>0.0</v>
      </c>
      <c r="B33" s="120">
        <f>'11.F&amp;V Crop Production details'!B94</f>
        <v>0.0</v>
      </c>
      <c r="C33" s="120">
        <f>'11.F&amp;V Crop Production details'!C94</f>
        <v>0.0</v>
      </c>
      <c r="D33" s="120">
        <f>'11.F&amp;V Crop Production details'!D94</f>
        <v>0.0</v>
      </c>
      <c r="E33" s="120">
        <f>'11.F&amp;V Crop Production details'!E94</f>
        <v>0.0</v>
      </c>
      <c r="F33" s="120">
        <f>'11.F&amp;V Crop Production details'!F94</f>
        <v>0.0</v>
      </c>
      <c r="G33" s="120">
        <f>'11.F&amp;V Crop Production details'!G94</f>
        <v>0.0</v>
      </c>
      <c r="H33" s="120">
        <f>'11.F&amp;V Crop Production details'!H94</f>
        <v>0.0</v>
      </c>
    </row>
    <row r="34" spans="8:8">
      <c r="A34" s="120" t="str">
        <f>'11.F&amp;V Crop Production details'!A95</f>
        <v>Pomegranate</v>
      </c>
      <c r="B34" s="120">
        <f>'11.F&amp;V Crop Production details'!B95</f>
        <v>0.0</v>
      </c>
      <c r="C34" s="120">
        <f>'11.F&amp;V Crop Production details'!C95</f>
        <v>0.0</v>
      </c>
      <c r="D34" s="120">
        <f>'11.F&amp;V Crop Production details'!D95</f>
        <v>0.0</v>
      </c>
      <c r="E34" s="120">
        <f>'11.F&amp;V Crop Production details'!E95</f>
        <v>0.0</v>
      </c>
      <c r="F34" s="120">
        <f>'11.F&amp;V Crop Production details'!F95</f>
        <v>0.0</v>
      </c>
      <c r="G34" s="120">
        <f>'11.F&amp;V Crop Production details'!G95</f>
        <v>0.0</v>
      </c>
      <c r="H34" s="120">
        <f>'11.F&amp;V Crop Production details'!H95</f>
        <v>0.0</v>
      </c>
    </row>
    <row r="35" spans="8:8">
      <c r="A35" s="120" t="str">
        <f>'11.F&amp;V Crop Production details'!A96</f>
        <v>Custard Apple</v>
      </c>
      <c r="B35" s="120">
        <f>'11.F&amp;V Crop Production details'!B96</f>
        <v>0.0</v>
      </c>
      <c r="C35" s="120">
        <f>'11.F&amp;V Crop Production details'!C96</f>
        <v>0.0</v>
      </c>
      <c r="D35" s="120">
        <f>'11.F&amp;V Crop Production details'!D96</f>
        <v>0.0</v>
      </c>
      <c r="E35" s="120">
        <f>'11.F&amp;V Crop Production details'!E96</f>
        <v>0.0</v>
      </c>
      <c r="F35" s="120">
        <f>'11.F&amp;V Crop Production details'!F96</f>
        <v>0.0</v>
      </c>
      <c r="G35" s="120">
        <f>'11.F&amp;V Crop Production details'!G96</f>
        <v>0.0</v>
      </c>
      <c r="H35" s="120">
        <f>'11.F&amp;V Crop Production details'!H96</f>
        <v>0.0</v>
      </c>
    </row>
    <row r="36" spans="8:8">
      <c r="A36" s="120" t="str">
        <f>'11.F&amp;V Crop Production details'!A97</f>
        <v>Guava</v>
      </c>
      <c r="B36" s="120">
        <f>'11.F&amp;V Crop Production details'!B97</f>
        <v>0.0</v>
      </c>
      <c r="C36" s="120">
        <f>'11.F&amp;V Crop Production details'!C97</f>
        <v>0.0</v>
      </c>
      <c r="D36" s="120">
        <f>'11.F&amp;V Crop Production details'!D97</f>
        <v>0.0</v>
      </c>
      <c r="E36" s="120">
        <f>'11.F&amp;V Crop Production details'!E97</f>
        <v>0.0</v>
      </c>
      <c r="F36" s="120">
        <f>'11.F&amp;V Crop Production details'!F97</f>
        <v>0.0</v>
      </c>
      <c r="G36" s="120">
        <f>'11.F&amp;V Crop Production details'!G97</f>
        <v>0.0</v>
      </c>
      <c r="H36" s="120">
        <f>'11.F&amp;V Crop Production details'!H97</f>
        <v>0.0</v>
      </c>
    </row>
    <row r="37" spans="8:8">
      <c r="A37" s="120" t="str">
        <f>'11.F&amp;V Crop Production details'!A98</f>
        <v>Citrus</v>
      </c>
      <c r="B37" s="120">
        <f>'11.F&amp;V Crop Production details'!B98</f>
        <v>0.0</v>
      </c>
      <c r="C37" s="120">
        <f>'11.F&amp;V Crop Production details'!C98</f>
        <v>0.0</v>
      </c>
      <c r="D37" s="120">
        <f>'11.F&amp;V Crop Production details'!D98</f>
        <v>0.0</v>
      </c>
      <c r="E37" s="120">
        <f>'11.F&amp;V Crop Production details'!E98</f>
        <v>0.0</v>
      </c>
      <c r="F37" s="120">
        <f>'11.F&amp;V Crop Production details'!F98</f>
        <v>0.0</v>
      </c>
      <c r="G37" s="120">
        <f>'11.F&amp;V Crop Production details'!G98</f>
        <v>0.0</v>
      </c>
      <c r="H37" s="120">
        <f>'11.F&amp;V Crop Production details'!H98</f>
        <v>0.0</v>
      </c>
    </row>
    <row r="38" spans="8:8">
      <c r="A38" s="120"/>
      <c r="B38" s="120"/>
      <c r="C38" s="120"/>
      <c r="D38" s="120"/>
      <c r="E38" s="120"/>
      <c r="F38" s="120"/>
      <c r="G38" s="120"/>
      <c r="H38" s="120"/>
    </row>
    <row r="39" spans="8:8">
      <c r="A39" s="120" t="s">
        <v>474</v>
      </c>
      <c r="B39" s="120">
        <f>SUM(B13:B37)</f>
        <v>0.0</v>
      </c>
      <c r="C39" s="120">
        <f t="shared" si="1" ref="C39:H39">SUM(C13:C37)</f>
        <v>0.0</v>
      </c>
      <c r="D39" s="120">
        <f t="shared" si="1"/>
        <v>0.0</v>
      </c>
      <c r="E39" s="120">
        <f t="shared" si="1"/>
        <v>0.0</v>
      </c>
      <c r="F39" s="120">
        <f t="shared" si="1"/>
        <v>0.0</v>
      </c>
      <c r="G39" s="120">
        <f t="shared" si="1"/>
        <v>0.0</v>
      </c>
      <c r="H39" s="120">
        <f t="shared" si="1"/>
        <v>0.0</v>
      </c>
    </row>
    <row r="40" spans="8:8">
      <c r="A40" s="446" t="s">
        <v>165</v>
      </c>
      <c r="B40" s="207">
        <v>0.0</v>
      </c>
      <c r="C40" s="207">
        <f>B40</f>
        <v>0.0</v>
      </c>
      <c r="D40" s="207">
        <f t="shared" si="2" ref="D40:H40">C40</f>
        <v>0.0</v>
      </c>
      <c r="E40" s="207">
        <f t="shared" si="2"/>
        <v>0.0</v>
      </c>
      <c r="F40" s="207">
        <f t="shared" si="2"/>
        <v>0.0</v>
      </c>
      <c r="G40" s="207">
        <f t="shared" si="2"/>
        <v>0.0</v>
      </c>
      <c r="H40" s="207">
        <f t="shared" si="2"/>
        <v>0.0</v>
      </c>
    </row>
    <row r="41" spans="8:8">
      <c r="A41" s="136" t="s">
        <v>484</v>
      </c>
      <c r="B41" s="447">
        <f>1-B40</f>
        <v>1.0</v>
      </c>
      <c r="C41" s="447">
        <f t="shared" si="3" ref="C41:H41">1-C40</f>
        <v>1.0</v>
      </c>
      <c r="D41" s="447">
        <f t="shared" si="3"/>
        <v>1.0</v>
      </c>
      <c r="E41" s="447">
        <f t="shared" si="3"/>
        <v>1.0</v>
      </c>
      <c r="F41" s="447">
        <f t="shared" si="3"/>
        <v>1.0</v>
      </c>
      <c r="G41" s="447">
        <f t="shared" si="3"/>
        <v>1.0</v>
      </c>
      <c r="H41" s="447">
        <f t="shared" si="3"/>
        <v>1.0</v>
      </c>
    </row>
    <row r="42" spans="8:8">
      <c r="A42" s="123" t="s">
        <v>165</v>
      </c>
      <c r="B42" s="440">
        <f>B39*B40</f>
        <v>0.0</v>
      </c>
      <c r="C42" s="440">
        <f t="shared" si="4" ref="C42:H42">C39*C40</f>
        <v>0.0</v>
      </c>
      <c r="D42" s="440">
        <f t="shared" si="4"/>
        <v>0.0</v>
      </c>
      <c r="E42" s="440">
        <f t="shared" si="4"/>
        <v>0.0</v>
      </c>
      <c r="F42" s="440">
        <f t="shared" si="4"/>
        <v>0.0</v>
      </c>
      <c r="G42" s="440">
        <f t="shared" si="4"/>
        <v>0.0</v>
      </c>
      <c r="H42" s="440">
        <f t="shared" si="4"/>
        <v>0.0</v>
      </c>
    </row>
    <row r="43" spans="8:8">
      <c r="A43" s="123" t="s">
        <v>166</v>
      </c>
      <c r="B43" s="124"/>
      <c r="C43" s="124"/>
      <c r="D43" s="124"/>
      <c r="E43" s="124"/>
      <c r="F43" s="124"/>
      <c r="G43" s="124"/>
      <c r="H43" s="124"/>
    </row>
    <row r="44" spans="8:8">
      <c r="A44" s="120" t="str">
        <f t="shared" si="5" ref="A44:A61">A13</f>
        <v>Onion</v>
      </c>
      <c r="B44" s="122">
        <f t="shared" si="6" ref="B44:B61">B13*$B$41</f>
        <v>0.0</v>
      </c>
      <c r="C44" s="122">
        <f t="shared" si="7" ref="C44:C61">C13*$C$41</f>
        <v>0.0</v>
      </c>
      <c r="D44" s="122">
        <f t="shared" si="8" ref="D44:D61">D13*$D$41</f>
        <v>0.0</v>
      </c>
      <c r="E44" s="122">
        <f t="shared" si="9" ref="E44:E61">E13*$E$41</f>
        <v>0.0</v>
      </c>
      <c r="F44" s="122">
        <f t="shared" si="10" ref="F44:F61">F13*$F$41</f>
        <v>0.0</v>
      </c>
      <c r="G44" s="122">
        <f t="shared" si="11" ref="G44:G61">G13*$G$41</f>
        <v>0.0</v>
      </c>
      <c r="H44" s="122">
        <f t="shared" si="12" ref="H44:H61">H13*$H$41</f>
        <v>0.0</v>
      </c>
    </row>
    <row r="45" spans="8:8">
      <c r="A45" s="120" t="str">
        <f t="shared" si="5"/>
        <v>Tomato</v>
      </c>
      <c r="B45" s="122">
        <f t="shared" si="6"/>
        <v>0.0</v>
      </c>
      <c r="C45" s="122">
        <f t="shared" si="7"/>
        <v>0.0</v>
      </c>
      <c r="D45" s="122">
        <f t="shared" si="8"/>
        <v>0.0</v>
      </c>
      <c r="E45" s="122">
        <f t="shared" si="9"/>
        <v>0.0</v>
      </c>
      <c r="F45" s="122">
        <f t="shared" si="10"/>
        <v>0.0</v>
      </c>
      <c r="G45" s="122">
        <f t="shared" si="11"/>
        <v>0.0</v>
      </c>
      <c r="H45" s="122">
        <f t="shared" si="12"/>
        <v>0.0</v>
      </c>
    </row>
    <row r="46" spans="8:8">
      <c r="A46" s="120" t="str">
        <f t="shared" si="5"/>
        <v>Okra</v>
      </c>
      <c r="B46" s="122">
        <f t="shared" si="6"/>
        <v>0.0</v>
      </c>
      <c r="C46" s="122">
        <f t="shared" si="7"/>
        <v>0.0</v>
      </c>
      <c r="D46" s="122">
        <f t="shared" si="8"/>
        <v>0.0</v>
      </c>
      <c r="E46" s="122">
        <f t="shared" si="9"/>
        <v>0.0</v>
      </c>
      <c r="F46" s="122">
        <f t="shared" si="10"/>
        <v>0.0</v>
      </c>
      <c r="G46" s="122">
        <f t="shared" si="11"/>
        <v>0.0</v>
      </c>
      <c r="H46" s="122">
        <f t="shared" si="12"/>
        <v>0.0</v>
      </c>
    </row>
    <row r="47" spans="8:8">
      <c r="A47" s="120" t="str">
        <f t="shared" si="5"/>
        <v>Chilli</v>
      </c>
      <c r="B47" s="122">
        <f t="shared" si="6"/>
        <v>0.0</v>
      </c>
      <c r="C47" s="122">
        <f t="shared" si="7"/>
        <v>0.0</v>
      </c>
      <c r="D47" s="122">
        <f t="shared" si="8"/>
        <v>0.0</v>
      </c>
      <c r="E47" s="122">
        <f t="shared" si="9"/>
        <v>0.0</v>
      </c>
      <c r="F47" s="122">
        <f t="shared" si="10"/>
        <v>0.0</v>
      </c>
      <c r="G47" s="122">
        <f t="shared" si="11"/>
        <v>0.0</v>
      </c>
      <c r="H47" s="122">
        <f t="shared" si="12"/>
        <v>0.0</v>
      </c>
    </row>
    <row r="48" spans="8:8">
      <c r="A48" s="120" t="str">
        <f t="shared" si="5"/>
        <v>Potato</v>
      </c>
      <c r="B48" s="122">
        <f t="shared" si="6"/>
        <v>0.0</v>
      </c>
      <c r="C48" s="122">
        <f t="shared" si="7"/>
        <v>0.0</v>
      </c>
      <c r="D48" s="122">
        <f t="shared" si="8"/>
        <v>0.0</v>
      </c>
      <c r="E48" s="122">
        <f t="shared" si="9"/>
        <v>0.0</v>
      </c>
      <c r="F48" s="122">
        <f t="shared" si="10"/>
        <v>0.0</v>
      </c>
      <c r="G48" s="122">
        <f t="shared" si="11"/>
        <v>0.0</v>
      </c>
      <c r="H48" s="122">
        <f t="shared" si="12"/>
        <v>0.0</v>
      </c>
    </row>
    <row r="49" spans="8:8">
      <c r="A49" s="120">
        <f t="shared" si="5"/>
        <v>0.0</v>
      </c>
      <c r="B49" s="122">
        <f t="shared" si="6"/>
        <v>0.0</v>
      </c>
      <c r="C49" s="122">
        <f t="shared" si="7"/>
        <v>0.0</v>
      </c>
      <c r="D49" s="122">
        <f t="shared" si="8"/>
        <v>0.0</v>
      </c>
      <c r="E49" s="122">
        <f t="shared" si="9"/>
        <v>0.0</v>
      </c>
      <c r="F49" s="122">
        <f t="shared" si="10"/>
        <v>0.0</v>
      </c>
      <c r="G49" s="122">
        <f t="shared" si="11"/>
        <v>0.0</v>
      </c>
      <c r="H49" s="122">
        <f t="shared" si="12"/>
        <v>0.0</v>
      </c>
    </row>
    <row r="50" spans="8:8">
      <c r="A50" s="120">
        <f t="shared" si="5"/>
        <v>0.0</v>
      </c>
      <c r="B50" s="122">
        <f t="shared" si="6"/>
        <v>0.0</v>
      </c>
      <c r="C50" s="122">
        <f t="shared" si="7"/>
        <v>0.0</v>
      </c>
      <c r="D50" s="122">
        <f t="shared" si="8"/>
        <v>0.0</v>
      </c>
      <c r="E50" s="122">
        <f t="shared" si="9"/>
        <v>0.0</v>
      </c>
      <c r="F50" s="122">
        <f t="shared" si="10"/>
        <v>0.0</v>
      </c>
      <c r="G50" s="122">
        <f t="shared" si="11"/>
        <v>0.0</v>
      </c>
      <c r="H50" s="122">
        <f t="shared" si="12"/>
        <v>0.0</v>
      </c>
    </row>
    <row r="51" spans="8:8">
      <c r="A51" s="120">
        <f t="shared" si="5"/>
        <v>0.0</v>
      </c>
      <c r="B51" s="122">
        <f t="shared" si="6"/>
        <v>0.0</v>
      </c>
      <c r="C51" s="122">
        <f t="shared" si="7"/>
        <v>0.0</v>
      </c>
      <c r="D51" s="122">
        <f t="shared" si="8"/>
        <v>0.0</v>
      </c>
      <c r="E51" s="122">
        <f t="shared" si="9"/>
        <v>0.0</v>
      </c>
      <c r="F51" s="122">
        <f t="shared" si="10"/>
        <v>0.0</v>
      </c>
      <c r="G51" s="122">
        <f t="shared" si="11"/>
        <v>0.0</v>
      </c>
      <c r="H51" s="122">
        <f t="shared" si="12"/>
        <v>0.0</v>
      </c>
    </row>
    <row r="52" spans="8:8">
      <c r="A52" s="120">
        <f t="shared" si="5"/>
        <v>0.0</v>
      </c>
      <c r="B52" s="122">
        <f t="shared" si="6"/>
        <v>0.0</v>
      </c>
      <c r="C52" s="122">
        <f t="shared" si="7"/>
        <v>0.0</v>
      </c>
      <c r="D52" s="122">
        <f t="shared" si="8"/>
        <v>0.0</v>
      </c>
      <c r="E52" s="122">
        <f t="shared" si="9"/>
        <v>0.0</v>
      </c>
      <c r="F52" s="122">
        <f t="shared" si="10"/>
        <v>0.0</v>
      </c>
      <c r="G52" s="122">
        <f t="shared" si="11"/>
        <v>0.0</v>
      </c>
      <c r="H52" s="122">
        <f t="shared" si="12"/>
        <v>0.0</v>
      </c>
    </row>
    <row r="53" spans="8:8">
      <c r="A53" s="120" t="str">
        <f t="shared" si="5"/>
        <v>Onion</v>
      </c>
      <c r="B53" s="122">
        <f t="shared" si="6"/>
        <v>0.0</v>
      </c>
      <c r="C53" s="122">
        <f t="shared" si="7"/>
        <v>0.0</v>
      </c>
      <c r="D53" s="122">
        <f t="shared" si="8"/>
        <v>0.0</v>
      </c>
      <c r="E53" s="122">
        <f t="shared" si="9"/>
        <v>0.0</v>
      </c>
      <c r="F53" s="122">
        <f t="shared" si="10"/>
        <v>0.0</v>
      </c>
      <c r="G53" s="122">
        <f t="shared" si="11"/>
        <v>0.0</v>
      </c>
      <c r="H53" s="122">
        <f t="shared" si="12"/>
        <v>0.0</v>
      </c>
    </row>
    <row r="54" spans="8:8">
      <c r="A54" s="120" t="str">
        <f t="shared" si="5"/>
        <v>Tomato</v>
      </c>
      <c r="B54" s="122">
        <f t="shared" si="6"/>
        <v>0.0</v>
      </c>
      <c r="C54" s="122">
        <f t="shared" si="7"/>
        <v>0.0</v>
      </c>
      <c r="D54" s="122">
        <f t="shared" si="8"/>
        <v>0.0</v>
      </c>
      <c r="E54" s="122">
        <f t="shared" si="9"/>
        <v>0.0</v>
      </c>
      <c r="F54" s="122">
        <f t="shared" si="10"/>
        <v>0.0</v>
      </c>
      <c r="G54" s="122">
        <f t="shared" si="11"/>
        <v>0.0</v>
      </c>
      <c r="H54" s="122">
        <f t="shared" si="12"/>
        <v>0.0</v>
      </c>
    </row>
    <row r="55" spans="8:8">
      <c r="A55" s="120" t="str">
        <f t="shared" si="5"/>
        <v>Okra</v>
      </c>
      <c r="B55" s="122">
        <f t="shared" si="6"/>
        <v>0.0</v>
      </c>
      <c r="C55" s="122">
        <f t="shared" si="7"/>
        <v>0.0</v>
      </c>
      <c r="D55" s="122">
        <f t="shared" si="8"/>
        <v>0.0</v>
      </c>
      <c r="E55" s="122">
        <f t="shared" si="9"/>
        <v>0.0</v>
      </c>
      <c r="F55" s="122">
        <f t="shared" si="10"/>
        <v>0.0</v>
      </c>
      <c r="G55" s="122">
        <f t="shared" si="11"/>
        <v>0.0</v>
      </c>
      <c r="H55" s="122">
        <f t="shared" si="12"/>
        <v>0.0</v>
      </c>
    </row>
    <row r="56" spans="8:8">
      <c r="A56" s="120" t="str">
        <f t="shared" si="5"/>
        <v>Chilli</v>
      </c>
      <c r="B56" s="122">
        <f t="shared" si="6"/>
        <v>0.0</v>
      </c>
      <c r="C56" s="122">
        <f t="shared" si="7"/>
        <v>0.0</v>
      </c>
      <c r="D56" s="122">
        <f t="shared" si="8"/>
        <v>0.0</v>
      </c>
      <c r="E56" s="122">
        <f t="shared" si="9"/>
        <v>0.0</v>
      </c>
      <c r="F56" s="122">
        <f t="shared" si="10"/>
        <v>0.0</v>
      </c>
      <c r="G56" s="122">
        <f t="shared" si="11"/>
        <v>0.0</v>
      </c>
      <c r="H56" s="122">
        <f t="shared" si="12"/>
        <v>0.0</v>
      </c>
    </row>
    <row r="57" spans="8:8">
      <c r="A57" s="120" t="str">
        <f t="shared" si="5"/>
        <v>Brinjal</v>
      </c>
      <c r="B57" s="122">
        <f t="shared" si="6"/>
        <v>0.0</v>
      </c>
      <c r="C57" s="122">
        <f t="shared" si="7"/>
        <v>0.0</v>
      </c>
      <c r="D57" s="122">
        <f t="shared" si="8"/>
        <v>0.0</v>
      </c>
      <c r="E57" s="122">
        <f t="shared" si="9"/>
        <v>0.0</v>
      </c>
      <c r="F57" s="122">
        <f t="shared" si="10"/>
        <v>0.0</v>
      </c>
      <c r="G57" s="122">
        <f t="shared" si="11"/>
        <v>0.0</v>
      </c>
      <c r="H57" s="122">
        <f t="shared" si="12"/>
        <v>0.0</v>
      </c>
    </row>
    <row r="58" spans="8:8">
      <c r="A58" s="120">
        <f t="shared" si="5"/>
        <v>0.0</v>
      </c>
      <c r="B58" s="122">
        <f t="shared" si="6"/>
        <v>0.0</v>
      </c>
      <c r="C58" s="122">
        <f t="shared" si="7"/>
        <v>0.0</v>
      </c>
      <c r="D58" s="122">
        <f t="shared" si="8"/>
        <v>0.0</v>
      </c>
      <c r="E58" s="122">
        <f t="shared" si="9"/>
        <v>0.0</v>
      </c>
      <c r="F58" s="122">
        <f t="shared" si="10"/>
        <v>0.0</v>
      </c>
      <c r="G58" s="122">
        <f t="shared" si="11"/>
        <v>0.0</v>
      </c>
      <c r="H58" s="122">
        <f t="shared" si="12"/>
        <v>0.0</v>
      </c>
    </row>
    <row r="59" spans="8:8">
      <c r="A59" s="120">
        <f t="shared" si="5"/>
        <v>0.0</v>
      </c>
      <c r="B59" s="122">
        <f t="shared" si="6"/>
        <v>0.0</v>
      </c>
      <c r="C59" s="122">
        <f t="shared" si="7"/>
        <v>0.0</v>
      </c>
      <c r="D59" s="122">
        <f t="shared" si="8"/>
        <v>0.0</v>
      </c>
      <c r="E59" s="122">
        <f t="shared" si="9"/>
        <v>0.0</v>
      </c>
      <c r="F59" s="122">
        <f t="shared" si="10"/>
        <v>0.0</v>
      </c>
      <c r="G59" s="122">
        <f t="shared" si="11"/>
        <v>0.0</v>
      </c>
      <c r="H59" s="122">
        <f t="shared" si="12"/>
        <v>0.0</v>
      </c>
    </row>
    <row r="60" spans="8:8">
      <c r="A60" s="120">
        <f t="shared" si="5"/>
        <v>0.0</v>
      </c>
      <c r="B60" s="122">
        <f t="shared" si="6"/>
        <v>0.0</v>
      </c>
      <c r="C60" s="122">
        <f t="shared" si="7"/>
        <v>0.0</v>
      </c>
      <c r="D60" s="122">
        <f t="shared" si="8"/>
        <v>0.0</v>
      </c>
      <c r="E60" s="122">
        <f t="shared" si="9"/>
        <v>0.0</v>
      </c>
      <c r="F60" s="122">
        <f t="shared" si="10"/>
        <v>0.0</v>
      </c>
      <c r="G60" s="122">
        <f t="shared" si="11"/>
        <v>0.0</v>
      </c>
      <c r="H60" s="122">
        <f t="shared" si="12"/>
        <v>0.0</v>
      </c>
    </row>
    <row r="61" spans="8:8">
      <c r="A61" s="120">
        <f t="shared" si="5"/>
        <v>0.0</v>
      </c>
      <c r="B61" s="122">
        <f t="shared" si="6"/>
        <v>0.0</v>
      </c>
      <c r="C61" s="122">
        <f t="shared" si="7"/>
        <v>0.0</v>
      </c>
      <c r="D61" s="122">
        <f t="shared" si="8"/>
        <v>0.0</v>
      </c>
      <c r="E61" s="122">
        <f t="shared" si="9"/>
        <v>0.0</v>
      </c>
      <c r="F61" s="122">
        <f t="shared" si="10"/>
        <v>0.0</v>
      </c>
      <c r="G61" s="122">
        <f t="shared" si="11"/>
        <v>0.0</v>
      </c>
      <c r="H61" s="122">
        <f t="shared" si="12"/>
        <v>0.0</v>
      </c>
    </row>
    <row r="62" spans="8:8">
      <c r="A62" s="120" t="str">
        <f t="shared" si="13" ref="A62">A34</f>
        <v>Pomegranate</v>
      </c>
      <c r="B62" s="122">
        <f>B34*$B$41</f>
        <v>0.0</v>
      </c>
      <c r="C62" s="122">
        <f t="shared" si="14" ref="C62:H62">C34*$B$41</f>
        <v>0.0</v>
      </c>
      <c r="D62" s="122">
        <f t="shared" si="14"/>
        <v>0.0</v>
      </c>
      <c r="E62" s="122">
        <f t="shared" si="14"/>
        <v>0.0</v>
      </c>
      <c r="F62" s="122">
        <f t="shared" si="14"/>
        <v>0.0</v>
      </c>
      <c r="G62" s="122">
        <f t="shared" si="14"/>
        <v>0.0</v>
      </c>
      <c r="H62" s="122">
        <f t="shared" si="14"/>
        <v>0.0</v>
      </c>
    </row>
    <row r="63" spans="8:8">
      <c r="A63" s="120" t="str">
        <f>A35</f>
        <v>Custard Apple</v>
      </c>
      <c r="B63" s="122">
        <f t="shared" si="15" ref="B63:H63">B35*$B$41</f>
        <v>0.0</v>
      </c>
      <c r="C63" s="122">
        <f t="shared" si="15"/>
        <v>0.0</v>
      </c>
      <c r="D63" s="122">
        <f t="shared" si="15"/>
        <v>0.0</v>
      </c>
      <c r="E63" s="122">
        <f t="shared" si="15"/>
        <v>0.0</v>
      </c>
      <c r="F63" s="122">
        <f t="shared" si="15"/>
        <v>0.0</v>
      </c>
      <c r="G63" s="122">
        <f t="shared" si="15"/>
        <v>0.0</v>
      </c>
      <c r="H63" s="122">
        <f t="shared" si="15"/>
        <v>0.0</v>
      </c>
    </row>
    <row r="64" spans="8:8">
      <c r="A64" s="120" t="str">
        <f>A36</f>
        <v>Guava</v>
      </c>
      <c r="B64" s="122">
        <f t="shared" si="16" ref="B64:H65">B36*$B$41</f>
        <v>0.0</v>
      </c>
      <c r="C64" s="122">
        <f t="shared" si="16"/>
        <v>0.0</v>
      </c>
      <c r="D64" s="122">
        <f t="shared" si="16"/>
        <v>0.0</v>
      </c>
      <c r="E64" s="122">
        <f t="shared" si="16"/>
        <v>0.0</v>
      </c>
      <c r="F64" s="122">
        <f t="shared" si="16"/>
        <v>0.0</v>
      </c>
      <c r="G64" s="122">
        <f t="shared" si="16"/>
        <v>0.0</v>
      </c>
      <c r="H64" s="122">
        <f t="shared" si="16"/>
        <v>0.0</v>
      </c>
    </row>
    <row r="65" spans="8:8">
      <c r="A65" s="120" t="str">
        <f>A37</f>
        <v>Citrus</v>
      </c>
      <c r="B65" s="122">
        <f t="shared" si="16"/>
        <v>0.0</v>
      </c>
      <c r="C65" s="122">
        <f t="shared" si="16"/>
        <v>0.0</v>
      </c>
      <c r="D65" s="122">
        <f t="shared" si="16"/>
        <v>0.0</v>
      </c>
      <c r="E65" s="122">
        <f t="shared" si="16"/>
        <v>0.0</v>
      </c>
      <c r="F65" s="122">
        <f t="shared" si="16"/>
        <v>0.0</v>
      </c>
      <c r="G65" s="122">
        <f t="shared" si="16"/>
        <v>0.0</v>
      </c>
      <c r="H65" s="122">
        <f t="shared" si="16"/>
        <v>0.0</v>
      </c>
    </row>
    <row r="66" spans="8:8">
      <c r="A66" s="123" t="s">
        <v>287</v>
      </c>
      <c r="B66" s="120"/>
      <c r="C66" s="120"/>
      <c r="D66" s="120"/>
      <c r="E66" s="120"/>
      <c r="F66" s="120"/>
      <c r="G66" s="120"/>
      <c r="H66" s="120"/>
    </row>
    <row r="67" spans="8:8">
      <c r="A67" s="120" t="str">
        <f>A44</f>
        <v>Onion</v>
      </c>
      <c r="B67" s="448"/>
      <c r="C67" s="448"/>
      <c r="D67" s="448"/>
      <c r="E67" s="448"/>
      <c r="F67" s="448"/>
      <c r="G67" s="448"/>
      <c r="H67" s="448"/>
    </row>
    <row r="68" spans="8:8">
      <c r="A68" s="120"/>
      <c r="B68" s="448"/>
      <c r="C68" s="448"/>
      <c r="D68" s="448"/>
      <c r="E68" s="448"/>
      <c r="F68" s="448"/>
      <c r="G68" s="448"/>
      <c r="H68" s="448"/>
    </row>
    <row r="69" spans="8:8">
      <c r="A69" s="120"/>
      <c r="B69" s="448"/>
      <c r="C69" s="448"/>
      <c r="D69" s="448"/>
      <c r="E69" s="448"/>
      <c r="F69" s="448"/>
      <c r="G69" s="448"/>
      <c r="H69" s="448"/>
    </row>
    <row r="70" spans="8:8">
      <c r="A70" s="120"/>
      <c r="B70" s="448"/>
      <c r="C70" s="448"/>
      <c r="D70" s="448"/>
      <c r="E70" s="448"/>
      <c r="F70" s="448"/>
      <c r="G70" s="448"/>
      <c r="H70" s="448"/>
    </row>
    <row r="71" spans="8:8">
      <c r="A71" s="120" t="str">
        <f>A45</f>
        <v>Tomato</v>
      </c>
      <c r="B71" s="122"/>
      <c r="C71" s="122"/>
      <c r="D71" s="122"/>
      <c r="E71" s="122"/>
      <c r="F71" s="122"/>
      <c r="G71" s="122"/>
      <c r="H71" s="122"/>
    </row>
    <row r="72" spans="8:8">
      <c r="A72" s="120"/>
      <c r="B72" s="122"/>
      <c r="C72" s="122"/>
      <c r="D72" s="122"/>
      <c r="E72" s="122"/>
      <c r="F72" s="122"/>
      <c r="G72" s="122"/>
      <c r="H72" s="122"/>
    </row>
    <row r="73" spans="8:8">
      <c r="A73" s="120"/>
      <c r="B73" s="122"/>
      <c r="C73" s="122"/>
      <c r="D73" s="122"/>
      <c r="E73" s="122"/>
      <c r="F73" s="122"/>
      <c r="G73" s="122"/>
      <c r="H73" s="122"/>
    </row>
    <row r="74" spans="8:8">
      <c r="A74" s="120"/>
      <c r="B74" s="122"/>
      <c r="C74" s="122"/>
      <c r="D74" s="122"/>
      <c r="E74" s="122"/>
      <c r="F74" s="122"/>
      <c r="G74" s="122"/>
      <c r="H74" s="122"/>
    </row>
    <row r="75" spans="8:8">
      <c r="A75" s="120" t="str">
        <f>A46</f>
        <v>Okra</v>
      </c>
      <c r="B75" s="122"/>
      <c r="C75" s="122"/>
      <c r="D75" s="122"/>
      <c r="E75" s="122"/>
      <c r="F75" s="122"/>
      <c r="G75" s="122"/>
      <c r="H75" s="122"/>
    </row>
    <row r="76" spans="8:8">
      <c r="A76" s="120"/>
      <c r="B76" s="122"/>
      <c r="C76" s="122"/>
      <c r="D76" s="122"/>
      <c r="E76" s="122"/>
      <c r="F76" s="122"/>
      <c r="G76" s="122"/>
      <c r="H76" s="122"/>
    </row>
    <row r="77" spans="8:8">
      <c r="A77" s="120"/>
      <c r="B77" s="122"/>
      <c r="C77" s="122"/>
      <c r="D77" s="122"/>
      <c r="E77" s="122"/>
      <c r="F77" s="122"/>
      <c r="G77" s="122"/>
      <c r="H77" s="122"/>
    </row>
    <row r="78" spans="8:8">
      <c r="A78" s="120"/>
      <c r="B78" s="122"/>
      <c r="C78" s="122"/>
      <c r="D78" s="122"/>
      <c r="E78" s="122"/>
      <c r="F78" s="122"/>
      <c r="G78" s="122"/>
      <c r="H78" s="122"/>
    </row>
    <row r="79" spans="8:8">
      <c r="A79" s="120" t="str">
        <f>A47</f>
        <v>Chilli</v>
      </c>
      <c r="B79" s="122"/>
      <c r="C79" s="122"/>
      <c r="D79" s="122"/>
      <c r="E79" s="122"/>
      <c r="F79" s="122"/>
      <c r="G79" s="122"/>
      <c r="H79" s="122"/>
    </row>
    <row r="80" spans="8:8">
      <c r="A80" s="120"/>
      <c r="B80" s="122"/>
      <c r="C80" s="122"/>
      <c r="D80" s="122"/>
      <c r="E80" s="122"/>
      <c r="F80" s="122"/>
      <c r="G80" s="122"/>
      <c r="H80" s="122"/>
    </row>
    <row r="81" spans="8:8">
      <c r="A81" s="120"/>
      <c r="B81" s="122"/>
      <c r="C81" s="122"/>
      <c r="D81" s="122"/>
      <c r="E81" s="122"/>
      <c r="F81" s="122"/>
      <c r="G81" s="122"/>
      <c r="H81" s="122"/>
    </row>
    <row r="82" spans="8:8">
      <c r="A82" s="120"/>
      <c r="B82" s="122"/>
      <c r="C82" s="122"/>
      <c r="D82" s="122"/>
      <c r="E82" s="122"/>
      <c r="F82" s="122"/>
      <c r="G82" s="122"/>
      <c r="H82" s="122"/>
    </row>
    <row r="83" spans="8:8">
      <c r="A83" s="120" t="str">
        <f>A48</f>
        <v>Potato</v>
      </c>
      <c r="B83" s="122"/>
      <c r="C83" s="122"/>
      <c r="D83" s="122"/>
      <c r="E83" s="122"/>
      <c r="F83" s="122"/>
      <c r="G83" s="122"/>
      <c r="H83" s="122"/>
    </row>
    <row r="84" spans="8:8">
      <c r="A84" s="120"/>
      <c r="B84" s="122"/>
      <c r="C84" s="122"/>
      <c r="D84" s="122"/>
      <c r="E84" s="122"/>
      <c r="F84" s="122"/>
      <c r="G84" s="122"/>
      <c r="H84" s="122"/>
    </row>
    <row r="85" spans="8:8">
      <c r="A85" s="120"/>
      <c r="B85" s="122"/>
      <c r="C85" s="122"/>
      <c r="D85" s="122"/>
      <c r="E85" s="122"/>
      <c r="F85" s="122"/>
      <c r="G85" s="122"/>
      <c r="H85" s="122"/>
    </row>
    <row r="86" spans="8:8">
      <c r="A86" s="120"/>
      <c r="B86" s="122"/>
      <c r="C86" s="122"/>
      <c r="D86" s="122"/>
      <c r="E86" s="122"/>
      <c r="F86" s="122"/>
      <c r="G86" s="122"/>
      <c r="H86" s="122"/>
    </row>
    <row r="87" spans="8:8">
      <c r="A87" s="120">
        <f>A49</f>
        <v>0.0</v>
      </c>
      <c r="B87" s="122"/>
      <c r="C87" s="122"/>
      <c r="D87" s="122"/>
      <c r="E87" s="122"/>
      <c r="F87" s="122"/>
      <c r="G87" s="122"/>
      <c r="H87" s="122"/>
    </row>
    <row r="88" spans="8:8">
      <c r="A88" s="120"/>
      <c r="B88" s="122"/>
      <c r="C88" s="122"/>
      <c r="D88" s="122"/>
      <c r="E88" s="122"/>
      <c r="F88" s="122"/>
      <c r="G88" s="122"/>
      <c r="H88" s="122"/>
    </row>
    <row r="89" spans="8:8">
      <c r="A89" s="120"/>
      <c r="B89" s="122"/>
      <c r="C89" s="122"/>
      <c r="D89" s="122"/>
      <c r="E89" s="122"/>
      <c r="F89" s="122"/>
      <c r="G89" s="122"/>
      <c r="H89" s="122"/>
    </row>
    <row r="90" spans="8:8">
      <c r="A90" s="120"/>
      <c r="B90" s="122"/>
      <c r="C90" s="122"/>
      <c r="D90" s="122"/>
      <c r="E90" s="122"/>
      <c r="F90" s="122"/>
      <c r="G90" s="122"/>
      <c r="H90" s="122"/>
    </row>
    <row r="91" spans="8:8">
      <c r="A91" s="120">
        <f>A50</f>
        <v>0.0</v>
      </c>
      <c r="B91" s="122"/>
      <c r="C91" s="122"/>
      <c r="D91" s="122"/>
      <c r="E91" s="122"/>
      <c r="F91" s="122"/>
      <c r="G91" s="122"/>
      <c r="H91" s="122"/>
    </row>
    <row r="92" spans="8:8">
      <c r="A92" s="120"/>
      <c r="B92" s="122"/>
      <c r="C92" s="122"/>
      <c r="D92" s="122"/>
      <c r="E92" s="122"/>
      <c r="F92" s="122"/>
      <c r="G92" s="122"/>
      <c r="H92" s="122"/>
    </row>
    <row r="93" spans="8:8">
      <c r="A93" s="120"/>
      <c r="B93" s="122"/>
      <c r="C93" s="122"/>
      <c r="D93" s="122"/>
      <c r="E93" s="122"/>
      <c r="F93" s="122"/>
      <c r="G93" s="122"/>
      <c r="H93" s="122"/>
    </row>
    <row r="94" spans="8:8">
      <c r="A94" s="120">
        <f>A51</f>
        <v>0.0</v>
      </c>
      <c r="B94" s="122"/>
      <c r="C94" s="122"/>
      <c r="D94" s="122"/>
      <c r="E94" s="122"/>
      <c r="F94" s="122"/>
      <c r="G94" s="122"/>
      <c r="H94" s="122"/>
    </row>
    <row r="95" spans="8:8">
      <c r="A95" s="120"/>
      <c r="B95" s="122"/>
      <c r="C95" s="122"/>
      <c r="D95" s="122"/>
      <c r="E95" s="122"/>
      <c r="F95" s="122"/>
      <c r="G95" s="122"/>
      <c r="H95" s="122"/>
    </row>
    <row r="96" spans="8:8">
      <c r="A96" s="120"/>
      <c r="B96" s="122"/>
      <c r="C96" s="122"/>
      <c r="D96" s="122"/>
      <c r="E96" s="122"/>
      <c r="F96" s="122"/>
      <c r="G96" s="122"/>
      <c r="H96" s="122"/>
    </row>
    <row r="97" spans="8:8">
      <c r="A97" s="120"/>
      <c r="B97" s="122"/>
      <c r="C97" s="122"/>
      <c r="D97" s="122"/>
      <c r="E97" s="122"/>
      <c r="F97" s="122"/>
      <c r="G97" s="122"/>
      <c r="H97" s="122"/>
    </row>
    <row r="98" spans="8:8">
      <c r="A98" s="120">
        <f>A52</f>
        <v>0.0</v>
      </c>
      <c r="B98" s="122"/>
      <c r="C98" s="122"/>
      <c r="D98" s="122"/>
      <c r="E98" s="122"/>
      <c r="F98" s="122"/>
      <c r="G98" s="122"/>
      <c r="H98" s="122"/>
    </row>
    <row r="99" spans="8:8">
      <c r="A99" s="120"/>
      <c r="B99" s="122"/>
      <c r="C99" s="122"/>
      <c r="D99" s="122"/>
      <c r="E99" s="122"/>
      <c r="F99" s="122"/>
      <c r="G99" s="122"/>
      <c r="H99" s="122"/>
    </row>
    <row r="100" spans="8:8">
      <c r="A100" s="120"/>
      <c r="B100" s="122"/>
      <c r="C100" s="122"/>
      <c r="D100" s="122"/>
      <c r="E100" s="122"/>
      <c r="F100" s="122"/>
      <c r="G100" s="122"/>
      <c r="H100" s="122"/>
    </row>
    <row r="101" spans="8:8">
      <c r="A101" s="120"/>
      <c r="B101" s="122"/>
      <c r="C101" s="122"/>
      <c r="D101" s="122"/>
      <c r="E101" s="122"/>
      <c r="F101" s="122"/>
      <c r="G101" s="122"/>
      <c r="H101" s="122"/>
    </row>
    <row r="102" spans="8:8">
      <c r="A102" s="120" t="str">
        <f>A53</f>
        <v>Onion</v>
      </c>
      <c r="B102" s="122"/>
      <c r="C102" s="122"/>
      <c r="D102" s="122"/>
      <c r="E102" s="122"/>
      <c r="F102" s="122"/>
      <c r="G102" s="122"/>
      <c r="H102" s="122"/>
    </row>
    <row r="103" spans="8:8">
      <c r="A103" s="120"/>
      <c r="B103" s="122"/>
      <c r="C103" s="122"/>
      <c r="D103" s="122"/>
      <c r="E103" s="122"/>
      <c r="F103" s="122"/>
      <c r="G103" s="122"/>
      <c r="H103" s="122"/>
    </row>
    <row r="104" spans="8:8">
      <c r="A104" s="120"/>
      <c r="B104" s="122"/>
      <c r="C104" s="122"/>
      <c r="D104" s="122"/>
      <c r="E104" s="122"/>
      <c r="F104" s="122"/>
      <c r="G104" s="122"/>
      <c r="H104" s="122"/>
    </row>
    <row r="105" spans="8:8">
      <c r="A105" s="120"/>
      <c r="B105" s="122"/>
      <c r="C105" s="122"/>
      <c r="D105" s="122"/>
      <c r="E105" s="122"/>
      <c r="F105" s="122"/>
      <c r="G105" s="122"/>
      <c r="H105" s="122"/>
    </row>
    <row r="106" spans="8:8">
      <c r="A106" s="120" t="str">
        <f>A54</f>
        <v>Tomato</v>
      </c>
      <c r="B106" s="122"/>
      <c r="C106" s="122"/>
      <c r="D106" s="122"/>
      <c r="E106" s="122"/>
      <c r="F106" s="122"/>
      <c r="G106" s="122"/>
      <c r="H106" s="122"/>
    </row>
    <row r="107" spans="8:8">
      <c r="A107" s="120"/>
      <c r="B107" s="122"/>
      <c r="C107" s="122"/>
      <c r="D107" s="122"/>
      <c r="E107" s="122"/>
      <c r="F107" s="122"/>
      <c r="G107" s="122"/>
      <c r="H107" s="122"/>
    </row>
    <row r="108" spans="8:8">
      <c r="A108" s="120"/>
      <c r="B108" s="122"/>
      <c r="C108" s="122"/>
      <c r="D108" s="122"/>
      <c r="E108" s="122"/>
      <c r="F108" s="122"/>
      <c r="G108" s="122"/>
      <c r="H108" s="122"/>
    </row>
    <row r="109" spans="8:8">
      <c r="A109" s="120"/>
      <c r="B109" s="122"/>
      <c r="C109" s="122"/>
      <c r="D109" s="122"/>
      <c r="E109" s="122"/>
      <c r="F109" s="122"/>
      <c r="G109" s="122"/>
      <c r="H109" s="122"/>
    </row>
    <row r="110" spans="8:8">
      <c r="A110" s="120" t="str">
        <f>A55</f>
        <v>Okra</v>
      </c>
      <c r="B110" s="122"/>
      <c r="C110" s="122"/>
      <c r="D110" s="122"/>
      <c r="E110" s="122"/>
      <c r="F110" s="122"/>
      <c r="G110" s="122"/>
      <c r="H110" s="122"/>
    </row>
    <row r="111" spans="8:8">
      <c r="A111" s="120"/>
      <c r="B111" s="122"/>
      <c r="C111" s="122"/>
      <c r="D111" s="122"/>
      <c r="E111" s="122"/>
      <c r="F111" s="122"/>
      <c r="G111" s="122"/>
      <c r="H111" s="122"/>
    </row>
    <row r="112" spans="8:8">
      <c r="A112" s="120"/>
      <c r="B112" s="122"/>
      <c r="C112" s="122"/>
      <c r="D112" s="122"/>
      <c r="E112" s="122"/>
      <c r="F112" s="122"/>
      <c r="G112" s="122"/>
      <c r="H112" s="122"/>
    </row>
    <row r="113" spans="8:8">
      <c r="A113" s="120"/>
      <c r="B113" s="122"/>
      <c r="C113" s="122"/>
      <c r="D113" s="122"/>
      <c r="E113" s="122"/>
      <c r="F113" s="122"/>
      <c r="G113" s="122"/>
      <c r="H113" s="122"/>
    </row>
    <row r="114" spans="8:8">
      <c r="A114" s="120" t="str">
        <f>A56</f>
        <v>Chilli</v>
      </c>
      <c r="B114" s="122"/>
      <c r="C114" s="122"/>
      <c r="D114" s="122"/>
      <c r="E114" s="122"/>
      <c r="F114" s="122"/>
      <c r="G114" s="122"/>
      <c r="H114" s="122"/>
    </row>
    <row r="115" spans="8:8">
      <c r="A115" s="120"/>
      <c r="B115" s="122"/>
      <c r="C115" s="122"/>
      <c r="D115" s="122"/>
      <c r="E115" s="122"/>
      <c r="F115" s="122"/>
      <c r="G115" s="122"/>
      <c r="H115" s="122"/>
    </row>
    <row r="116" spans="8:8">
      <c r="A116" s="120"/>
      <c r="B116" s="122"/>
      <c r="C116" s="122"/>
      <c r="D116" s="122"/>
      <c r="E116" s="122"/>
      <c r="F116" s="122"/>
      <c r="G116" s="122"/>
      <c r="H116" s="122"/>
    </row>
    <row r="117" spans="8:8">
      <c r="A117" s="120"/>
      <c r="B117" s="122"/>
      <c r="C117" s="122"/>
      <c r="D117" s="122"/>
      <c r="E117" s="122"/>
      <c r="F117" s="122"/>
      <c r="G117" s="122"/>
      <c r="H117" s="122"/>
    </row>
    <row r="118" spans="8:8">
      <c r="A118" s="123" t="str">
        <f t="shared" si="17" ref="A118:A123">A57</f>
        <v>Brinjal</v>
      </c>
      <c r="B118" s="122"/>
      <c r="C118" s="122"/>
      <c r="D118" s="122"/>
      <c r="E118" s="122"/>
      <c r="F118" s="122"/>
      <c r="G118" s="122"/>
      <c r="H118" s="122"/>
    </row>
    <row r="119" spans="8:8">
      <c r="A119" s="120">
        <f t="shared" si="17"/>
        <v>0.0</v>
      </c>
      <c r="B119" s="122"/>
      <c r="C119" s="122"/>
      <c r="D119" s="122"/>
      <c r="E119" s="122"/>
      <c r="F119" s="122"/>
      <c r="G119" s="122"/>
      <c r="H119" s="122"/>
    </row>
    <row r="120" spans="8:8">
      <c r="A120" s="120">
        <f t="shared" si="17"/>
        <v>0.0</v>
      </c>
      <c r="B120" s="122"/>
      <c r="C120" s="122"/>
      <c r="D120" s="122"/>
      <c r="E120" s="122"/>
      <c r="F120" s="122"/>
      <c r="G120" s="122"/>
      <c r="H120" s="122"/>
    </row>
    <row r="121" spans="8:8">
      <c r="A121" s="120">
        <f t="shared" si="17"/>
        <v>0.0</v>
      </c>
      <c r="B121" s="122"/>
      <c r="C121" s="122"/>
      <c r="D121" s="122"/>
      <c r="E121" s="122"/>
      <c r="F121" s="122"/>
      <c r="G121" s="122"/>
      <c r="H121" s="122"/>
    </row>
    <row r="122" spans="8:8">
      <c r="A122" s="120">
        <f t="shared" si="17"/>
        <v>0.0</v>
      </c>
      <c r="B122" s="122"/>
      <c r="C122" s="122"/>
      <c r="D122" s="122"/>
      <c r="E122" s="122"/>
      <c r="F122" s="122"/>
      <c r="G122" s="122"/>
      <c r="H122" s="122"/>
    </row>
    <row r="123" spans="8:8">
      <c r="A123" s="123" t="str">
        <f t="shared" si="17"/>
        <v>Pomegranate</v>
      </c>
      <c r="B123" s="122"/>
      <c r="C123" s="122"/>
      <c r="D123" s="122"/>
      <c r="E123" s="122"/>
      <c r="F123" s="122"/>
      <c r="G123" s="122"/>
      <c r="H123" s="122"/>
    </row>
    <row r="124" spans="8:8">
      <c r="A124" s="120" t="s">
        <v>539</v>
      </c>
      <c r="B124" s="122">
        <f>(B$62*50%)*0.7</f>
        <v>0.0</v>
      </c>
      <c r="C124" s="122">
        <f>(C$62*50%)*0.7</f>
        <v>0.0</v>
      </c>
      <c r="D124" s="122">
        <f t="shared" si="18" ref="D124:H126">(D$62*50%)*0.7</f>
        <v>0.0</v>
      </c>
      <c r="E124" s="122">
        <f t="shared" si="18"/>
        <v>0.0</v>
      </c>
      <c r="F124" s="122">
        <f t="shared" si="18"/>
        <v>0.0</v>
      </c>
      <c r="G124" s="122">
        <f t="shared" si="18"/>
        <v>0.0</v>
      </c>
      <c r="H124" s="122">
        <f t="shared" si="18"/>
        <v>0.0</v>
      </c>
    </row>
    <row r="125" spans="8:8">
      <c r="A125" s="120" t="s">
        <v>537</v>
      </c>
      <c r="B125" s="122">
        <f>(B$62*50%)*0.7*2</f>
        <v>0.0</v>
      </c>
      <c r="C125" s="122">
        <f>(C$62*50%)*0.7</f>
        <v>0.0</v>
      </c>
      <c r="D125" s="122">
        <f t="shared" si="18"/>
        <v>0.0</v>
      </c>
      <c r="E125" s="122">
        <f t="shared" si="18"/>
        <v>0.0</v>
      </c>
      <c r="F125" s="122">
        <f t="shared" si="18"/>
        <v>0.0</v>
      </c>
      <c r="G125" s="122">
        <f t="shared" si="18"/>
        <v>0.0</v>
      </c>
      <c r="H125" s="122">
        <f t="shared" si="18"/>
        <v>0.0</v>
      </c>
    </row>
    <row r="126" spans="8:8">
      <c r="A126" s="120" t="s">
        <v>538</v>
      </c>
      <c r="B126" s="122">
        <f>(B$62*0.3)*0.2</f>
        <v>0.0</v>
      </c>
      <c r="C126" s="122">
        <f>(C$62*50%)*0.7</f>
        <v>0.0</v>
      </c>
      <c r="D126" s="122">
        <f t="shared" si="18"/>
        <v>0.0</v>
      </c>
      <c r="E126" s="122">
        <f t="shared" si="18"/>
        <v>0.0</v>
      </c>
      <c r="F126" s="122">
        <f t="shared" si="18"/>
        <v>0.0</v>
      </c>
      <c r="G126" s="122">
        <f t="shared" si="18"/>
        <v>0.0</v>
      </c>
      <c r="H126" s="122">
        <f t="shared" si="18"/>
        <v>0.0</v>
      </c>
    </row>
    <row r="127" spans="8:8">
      <c r="A127" s="120" t="str">
        <f t="shared" si="19" ref="A127">A63</f>
        <v>Custard Apple</v>
      </c>
      <c r="B127" s="122"/>
      <c r="C127" s="122"/>
      <c r="D127" s="122"/>
      <c r="E127" s="122"/>
      <c r="F127" s="122"/>
      <c r="G127" s="122"/>
      <c r="H127" s="122"/>
    </row>
    <row r="128" spans="8:8">
      <c r="A128" s="120"/>
      <c r="B128" s="122"/>
      <c r="C128" s="122"/>
      <c r="D128" s="122"/>
      <c r="E128" s="122"/>
      <c r="F128" s="122"/>
      <c r="G128" s="122"/>
      <c r="H128" s="122"/>
    </row>
    <row r="129" spans="8:8">
      <c r="A129" s="120"/>
      <c r="B129" s="122"/>
      <c r="C129" s="122"/>
      <c r="D129" s="122"/>
      <c r="E129" s="122"/>
      <c r="F129" s="122"/>
      <c r="G129" s="122"/>
      <c r="H129" s="122"/>
    </row>
    <row r="130" spans="8:8">
      <c r="A130" s="120"/>
      <c r="B130" s="122"/>
      <c r="C130" s="122"/>
      <c r="D130" s="122"/>
      <c r="E130" s="122"/>
      <c r="F130" s="122"/>
      <c r="G130" s="122"/>
      <c r="H130" s="122"/>
    </row>
    <row r="131" spans="8:8">
      <c r="A131" s="120" t="str">
        <f>A64</f>
        <v>Guava</v>
      </c>
      <c r="B131" s="122"/>
      <c r="C131" s="122"/>
      <c r="D131" s="122"/>
      <c r="E131" s="122"/>
      <c r="F131" s="122"/>
      <c r="G131" s="122"/>
      <c r="H131" s="122"/>
    </row>
    <row r="132" spans="8:8">
      <c r="A132" s="120"/>
      <c r="B132" s="122"/>
      <c r="C132" s="122"/>
      <c r="D132" s="122"/>
      <c r="E132" s="122"/>
      <c r="F132" s="122"/>
      <c r="G132" s="122"/>
      <c r="H132" s="122"/>
    </row>
    <row r="133" spans="8:8">
      <c r="A133" s="120"/>
      <c r="B133" s="122"/>
      <c r="C133" s="122"/>
      <c r="D133" s="122"/>
      <c r="E133" s="122"/>
      <c r="F133" s="122"/>
      <c r="G133" s="122"/>
      <c r="H133" s="122"/>
    </row>
    <row r="134" spans="8:8">
      <c r="A134" s="120"/>
      <c r="B134" s="122"/>
      <c r="C134" s="122"/>
      <c r="D134" s="122"/>
      <c r="E134" s="122"/>
      <c r="F134" s="122"/>
      <c r="G134" s="122"/>
      <c r="H134" s="122"/>
    </row>
    <row r="135" spans="8:8">
      <c r="A135" s="120" t="str">
        <f>A65</f>
        <v>Citrus</v>
      </c>
      <c r="B135" s="122"/>
      <c r="C135" s="122"/>
      <c r="D135" s="122"/>
      <c r="E135" s="122"/>
      <c r="F135" s="122"/>
      <c r="G135" s="122"/>
      <c r="H135" s="122"/>
    </row>
    <row r="136" spans="8:8">
      <c r="A136" s="120"/>
      <c r="B136" s="122"/>
      <c r="C136" s="122"/>
      <c r="D136" s="122"/>
      <c r="E136" s="122"/>
      <c r="F136" s="122"/>
      <c r="G136" s="122"/>
      <c r="H136" s="122"/>
    </row>
    <row r="137" spans="8:8">
      <c r="A137" s="120"/>
      <c r="B137" s="122"/>
      <c r="C137" s="122"/>
      <c r="D137" s="122"/>
      <c r="E137" s="122"/>
      <c r="F137" s="122"/>
      <c r="G137" s="122"/>
      <c r="H137" s="122"/>
    </row>
    <row r="138" spans="8:8">
      <c r="A138" s="120"/>
      <c r="B138" s="122"/>
      <c r="C138" s="122"/>
      <c r="D138" s="122"/>
      <c r="E138" s="122"/>
      <c r="F138" s="122"/>
      <c r="G138" s="122"/>
      <c r="H138" s="122"/>
    </row>
    <row r="139" spans="8:8">
      <c r="A139" s="449"/>
      <c r="B139" s="450"/>
      <c r="C139" s="450"/>
      <c r="D139" s="450"/>
      <c r="E139" s="450"/>
      <c r="F139" s="450"/>
      <c r="G139" s="450"/>
      <c r="H139" s="450"/>
    </row>
    <row r="140" spans="8:8">
      <c r="A140" s="435" t="s">
        <v>461</v>
      </c>
    </row>
    <row r="141" spans="8:8">
      <c r="A141" t="s">
        <v>542</v>
      </c>
      <c r="B141" s="233">
        <f t="shared" si="20" ref="B141:C143">(B124*100)</f>
        <v>0.0</v>
      </c>
      <c r="C141" s="233">
        <f t="shared" si="20"/>
        <v>0.0</v>
      </c>
      <c r="D141" s="233">
        <f t="shared" si="21" ref="D141:H141">(D124*100)</f>
        <v>0.0</v>
      </c>
      <c r="E141" s="233">
        <f t="shared" si="21"/>
        <v>0.0</v>
      </c>
      <c r="F141" s="233">
        <f t="shared" si="21"/>
        <v>0.0</v>
      </c>
      <c r="G141" s="233">
        <f t="shared" si="21"/>
        <v>0.0</v>
      </c>
      <c r="H141" s="233">
        <f t="shared" si="21"/>
        <v>0.0</v>
      </c>
    </row>
    <row r="142" spans="8:8">
      <c r="A142" t="s">
        <v>543</v>
      </c>
      <c r="B142" s="233">
        <f t="shared" si="20"/>
        <v>0.0</v>
      </c>
      <c r="C142" s="233">
        <f t="shared" si="20"/>
        <v>0.0</v>
      </c>
      <c r="D142" s="233">
        <f t="shared" si="22" ref="D142:H142">(D125*100)</f>
        <v>0.0</v>
      </c>
      <c r="E142" s="233">
        <f t="shared" si="22"/>
        <v>0.0</v>
      </c>
      <c r="F142" s="233">
        <f t="shared" si="22"/>
        <v>0.0</v>
      </c>
      <c r="G142" s="233">
        <f t="shared" si="22"/>
        <v>0.0</v>
      </c>
      <c r="H142" s="233">
        <f t="shared" si="22"/>
        <v>0.0</v>
      </c>
    </row>
    <row r="143" spans="8:8">
      <c r="A143" t="s">
        <v>544</v>
      </c>
      <c r="B143" s="233">
        <f t="shared" si="20"/>
        <v>0.0</v>
      </c>
      <c r="C143" s="233">
        <f t="shared" si="20"/>
        <v>0.0</v>
      </c>
      <c r="D143" s="233">
        <f t="shared" si="23" ref="D143:H143">(D126*100)</f>
        <v>0.0</v>
      </c>
      <c r="E143" s="233">
        <f t="shared" si="23"/>
        <v>0.0</v>
      </c>
      <c r="F143" s="233">
        <f t="shared" si="23"/>
        <v>0.0</v>
      </c>
      <c r="G143" s="233">
        <f t="shared" si="23"/>
        <v>0.0</v>
      </c>
      <c r="H143" s="233">
        <f t="shared" si="23"/>
        <v>0.0</v>
      </c>
    </row>
    <row r="145" spans="8:8">
      <c r="B145" s="233"/>
      <c r="C145" s="233"/>
    </row>
    <row r="146" spans="8:8">
      <c r="B146" s="233"/>
      <c r="C146" s="233"/>
      <c r="D146" s="233"/>
    </row>
    <row r="147" spans="8:8" ht="18.75">
      <c r="A147" s="30" t="s">
        <v>616</v>
      </c>
      <c r="B147" s="30"/>
      <c r="C147" s="30"/>
      <c r="D147" s="30"/>
      <c r="E147" s="30"/>
      <c r="F147" s="30"/>
      <c r="G147" s="30"/>
      <c r="H147" s="30"/>
      <c r="I147" s="30"/>
      <c r="J147" s="30"/>
    </row>
    <row r="148" spans="8:8">
      <c r="A148" s="481"/>
      <c r="B148" s="481"/>
      <c r="C148" s="481"/>
      <c r="D148" s="481"/>
      <c r="E148" s="481"/>
      <c r="F148" s="481"/>
      <c r="G148" s="481"/>
      <c r="H148" s="481"/>
    </row>
    <row r="149" spans="8:8">
      <c r="A149" s="482"/>
      <c r="B149" s="482"/>
      <c r="C149" s="482"/>
      <c r="D149" s="454">
        <v>1.0</v>
      </c>
      <c r="E149" s="455">
        <f>(D149*5%)+D149</f>
        <v>1.05</v>
      </c>
      <c r="F149" s="455">
        <f t="shared" si="24" ref="F149:J149">(E149*5%)+E149</f>
        <v>1.1025</v>
      </c>
      <c r="G149" s="455">
        <f t="shared" si="24"/>
        <v>1.1576250000000001</v>
      </c>
      <c r="H149" s="455">
        <f t="shared" si="24"/>
        <v>1.21550625</v>
      </c>
      <c r="I149" s="455">
        <f t="shared" si="24"/>
        <v>1.2762815625</v>
      </c>
      <c r="J149" s="455">
        <f t="shared" si="24"/>
        <v>1.340095640625</v>
      </c>
    </row>
    <row r="150" spans="8:8">
      <c r="A150" s="115"/>
      <c r="B150" s="115"/>
      <c r="C150" s="115"/>
      <c r="D150" s="115"/>
      <c r="E150" s="115"/>
      <c r="F150" s="115"/>
      <c r="G150" s="115"/>
      <c r="H150" s="115"/>
      <c r="I150" s="115"/>
      <c r="J150" s="115"/>
    </row>
    <row r="151" spans="8:8">
      <c r="A151" s="118" t="s">
        <v>0</v>
      </c>
      <c r="B151" s="118" t="s">
        <v>133</v>
      </c>
      <c r="C151" s="118" t="s">
        <v>152</v>
      </c>
      <c r="D151" s="119" t="s">
        <v>2</v>
      </c>
      <c r="E151" s="119" t="s">
        <v>3</v>
      </c>
      <c r="F151" s="119" t="s">
        <v>4</v>
      </c>
      <c r="G151" s="119" t="s">
        <v>5</v>
      </c>
      <c r="H151" s="119" t="s">
        <v>6</v>
      </c>
      <c r="I151" s="119" t="s">
        <v>169</v>
      </c>
      <c r="J151" s="119" t="s">
        <v>168</v>
      </c>
    </row>
    <row r="152" spans="8:8">
      <c r="A152" s="120"/>
      <c r="B152" s="120"/>
      <c r="C152" s="120"/>
      <c r="D152" s="120"/>
      <c r="E152" s="120"/>
      <c r="F152" s="120"/>
      <c r="G152" s="120"/>
      <c r="H152" s="120"/>
      <c r="I152" s="120"/>
      <c r="J152" s="120"/>
    </row>
    <row r="153" spans="8:8">
      <c r="A153" s="123" t="s">
        <v>127</v>
      </c>
      <c r="B153" s="123"/>
      <c r="C153" s="123"/>
      <c r="D153" s="316"/>
      <c r="E153" s="316"/>
      <c r="F153" s="316"/>
      <c r="G153" s="316"/>
      <c r="H153" s="316"/>
      <c r="I153" s="120"/>
      <c r="J153" s="120"/>
    </row>
    <row r="154" spans="8:8">
      <c r="A154" s="120" t="str">
        <f>A124</f>
        <v>Pomegranate Arils</v>
      </c>
      <c r="B154" s="79" t="s">
        <v>541</v>
      </c>
      <c r="C154" s="79">
        <v>150.0</v>
      </c>
      <c r="D154" s="122">
        <f>(B141*(1-'5.Closing Stock &amp; W Capital'!$D$18)*$C154*D$149)</f>
        <v>0.0</v>
      </c>
      <c r="E154" s="122">
        <f>(((C141*(1-'5.Closing Stock &amp; W Capital'!$D$18))+(B141*'5.Closing Stock &amp; W Capital'!$D$18))*$C154*E$149)</f>
        <v>0.0</v>
      </c>
      <c r="F154" s="122">
        <f>(((D141*(1-'5.Closing Stock &amp; W Capital'!$D$18))+(C141*'5.Closing Stock &amp; W Capital'!$D$18))*$C154*F$149)</f>
        <v>0.0</v>
      </c>
      <c r="G154" s="122">
        <f>(((E141*(1-'5.Closing Stock &amp; W Capital'!$D$18))+(D141*'5.Closing Stock &amp; W Capital'!$D$18))*$C154*G$149)</f>
        <v>0.0</v>
      </c>
      <c r="H154" s="122">
        <f>(((F141*(1-'5.Closing Stock &amp; W Capital'!$D$18))+(E141*'5.Closing Stock &amp; W Capital'!$D$18))*$C154*H$149)</f>
        <v>0.0</v>
      </c>
      <c r="I154" s="122">
        <f>(((G141*(1-'5.Closing Stock &amp; W Capital'!$D$18))+(F141*'5.Closing Stock &amp; W Capital'!$D$18))*$C154*I$149)</f>
        <v>0.0</v>
      </c>
      <c r="J154" s="122">
        <f>(((H141*(1-'5.Closing Stock &amp; W Capital'!$D$18))+(G141*'5.Closing Stock &amp; W Capital'!$D$18))*$C154*J$149)</f>
        <v>0.0</v>
      </c>
    </row>
    <row r="155" spans="8:8">
      <c r="A155" s="120" t="str">
        <f>A125</f>
        <v>Pomegranate Juice</v>
      </c>
      <c r="B155" s="79" t="s">
        <v>540</v>
      </c>
      <c r="C155" s="79">
        <v>40.0</v>
      </c>
      <c r="D155" s="122">
        <f>(B142*(1-'5.Closing Stock &amp; W Capital'!$D$18)*$C155*D$149)</f>
        <v>0.0</v>
      </c>
      <c r="E155" s="122">
        <f>(((C142*(1-'5.Closing Stock &amp; W Capital'!$D$18))+(B142*'5.Closing Stock &amp; W Capital'!$D$18))*$C155*E$149)</f>
        <v>0.0</v>
      </c>
      <c r="F155" s="122">
        <f>(((D142*(1-'5.Closing Stock &amp; W Capital'!$D$18))+(C142*'5.Closing Stock &amp; W Capital'!$D$18))*$C155*F$149)</f>
        <v>0.0</v>
      </c>
      <c r="G155" s="122">
        <f>(((E142*(1-'5.Closing Stock &amp; W Capital'!$D$18))+(D142*'5.Closing Stock &amp; W Capital'!$D$18))*$C155*G$149)</f>
        <v>0.0</v>
      </c>
      <c r="H155" s="122">
        <f>(((F142*(1-'5.Closing Stock &amp; W Capital'!$D$18))+(E142*'5.Closing Stock &amp; W Capital'!$D$18))*$C155*H$149)</f>
        <v>0.0</v>
      </c>
      <c r="I155" s="122">
        <f>(((G142*(1-'5.Closing Stock &amp; W Capital'!$D$18))+(F142*'5.Closing Stock &amp; W Capital'!$D$18))*$C155*I$149)</f>
        <v>0.0</v>
      </c>
      <c r="J155" s="122">
        <f>(((H142*(1-'5.Closing Stock &amp; W Capital'!$D$18))+(G142*'5.Closing Stock &amp; W Capital'!$D$18))*$C155*J$149)</f>
        <v>0.0</v>
      </c>
    </row>
    <row r="156" spans="8:8">
      <c r="A156" s="120" t="str">
        <f>A126</f>
        <v>Pomegranate Powder</v>
      </c>
      <c r="B156" s="79" t="s">
        <v>366</v>
      </c>
      <c r="C156" s="79">
        <v>50.0</v>
      </c>
      <c r="D156" s="122">
        <f>(B143*(1-'5.Closing Stock &amp; W Capital'!$D$18)*$C156*D$149)</f>
        <v>0.0</v>
      </c>
      <c r="E156" s="122">
        <f>(((C143*(1-'5.Closing Stock &amp; W Capital'!$D$18))+(B143*'5.Closing Stock &amp; W Capital'!$D$18))*$C156*E$149)</f>
        <v>0.0</v>
      </c>
      <c r="F156" s="122">
        <f>(((D143*(1-'5.Closing Stock &amp; W Capital'!$D$18))+(C143*'5.Closing Stock &amp; W Capital'!$D$18))*$C156*F$149)</f>
        <v>0.0</v>
      </c>
      <c r="G156" s="122">
        <f>(((E143*(1-'5.Closing Stock &amp; W Capital'!$D$18))+(D143*'5.Closing Stock &amp; W Capital'!$D$18))*$C156*G$149)</f>
        <v>0.0</v>
      </c>
      <c r="H156" s="122">
        <f>(((F143*(1-'5.Closing Stock &amp; W Capital'!$D$18))+(E143*'5.Closing Stock &amp; W Capital'!$D$18))*$C156*H$149)</f>
        <v>0.0</v>
      </c>
      <c r="I156" s="122">
        <f>(((G143*(1-'5.Closing Stock &amp; W Capital'!$D$18))+(F143*'5.Closing Stock &amp; W Capital'!$D$18))*$C156*I$149)</f>
        <v>0.0</v>
      </c>
      <c r="J156" s="122">
        <f>(((H143*(1-'5.Closing Stock &amp; W Capital'!$D$18))+(G143*'5.Closing Stock &amp; W Capital'!$D$18))*$C156*J$149)</f>
        <v>0.0</v>
      </c>
    </row>
    <row r="157" spans="8:8">
      <c r="A157" s="120"/>
      <c r="B157" s="79"/>
      <c r="C157" s="79"/>
      <c r="D157" s="122"/>
      <c r="E157" s="122"/>
      <c r="F157" s="122"/>
      <c r="G157" s="122"/>
      <c r="H157" s="122"/>
      <c r="I157" s="122"/>
      <c r="J157" s="122"/>
    </row>
    <row r="158" spans="8:8">
      <c r="A158" s="120"/>
      <c r="B158" s="120"/>
      <c r="C158" s="120"/>
      <c r="D158" s="122"/>
      <c r="E158" s="122"/>
      <c r="F158" s="122"/>
      <c r="G158" s="122"/>
      <c r="H158" s="122"/>
      <c r="I158" s="122"/>
      <c r="J158" s="122"/>
    </row>
    <row r="159" spans="8:8">
      <c r="A159" s="123" t="s">
        <v>127</v>
      </c>
      <c r="B159" s="123"/>
      <c r="C159" s="123"/>
      <c r="D159" s="124">
        <f t="shared" si="25" ref="D159:J159">SUM(D154:D157)</f>
        <v>0.0</v>
      </c>
      <c r="E159" s="124">
        <f t="shared" si="25"/>
        <v>0.0</v>
      </c>
      <c r="F159" s="124">
        <f t="shared" si="25"/>
        <v>0.0</v>
      </c>
      <c r="G159" s="124">
        <f t="shared" si="25"/>
        <v>0.0</v>
      </c>
      <c r="H159" s="124">
        <f t="shared" si="25"/>
        <v>0.0</v>
      </c>
      <c r="I159" s="124">
        <f t="shared" si="25"/>
        <v>0.0</v>
      </c>
      <c r="J159" s="124">
        <f t="shared" si="25"/>
        <v>0.0</v>
      </c>
    </row>
    <row r="160" spans="8:8">
      <c r="A160" s="120"/>
      <c r="B160" s="120"/>
      <c r="C160" s="120"/>
      <c r="D160" s="122"/>
      <c r="E160" s="122"/>
      <c r="F160" s="122"/>
      <c r="G160" s="122"/>
      <c r="H160" s="122"/>
      <c r="I160" s="122"/>
      <c r="J160" s="122"/>
    </row>
    <row r="161" spans="8:8">
      <c r="A161" s="123" t="s">
        <v>143</v>
      </c>
      <c r="B161" s="123"/>
      <c r="C161" s="123"/>
      <c r="D161" s="122"/>
      <c r="E161" s="122"/>
      <c r="F161" s="122"/>
      <c r="G161" s="122"/>
      <c r="H161" s="122"/>
      <c r="I161" s="122"/>
      <c r="J161" s="122"/>
    </row>
    <row r="162" spans="8:8">
      <c r="A162" s="123" t="s">
        <v>314</v>
      </c>
      <c r="B162" s="123"/>
      <c r="C162" s="120"/>
      <c r="D162" s="122"/>
      <c r="E162" s="122"/>
      <c r="F162" s="122"/>
      <c r="G162" s="122"/>
      <c r="H162" s="122"/>
      <c r="I162" s="122"/>
      <c r="J162" s="122"/>
    </row>
    <row r="163" spans="8:8">
      <c r="A163" s="136" t="s">
        <v>545</v>
      </c>
      <c r="B163" s="79" t="s">
        <v>367</v>
      </c>
      <c r="C163" s="121">
        <v>6000.0</v>
      </c>
      <c r="D163" s="122">
        <f>B62*$C163*D$149</f>
        <v>0.0</v>
      </c>
      <c r="E163" s="122">
        <f>C62*$C163*E$149</f>
        <v>0.0</v>
      </c>
      <c r="F163" s="122">
        <f t="shared" si="26" ref="F163:J163">D62*$C163*F$149</f>
        <v>0.0</v>
      </c>
      <c r="G163" s="122">
        <f t="shared" si="26"/>
        <v>0.0</v>
      </c>
      <c r="H163" s="122">
        <f t="shared" si="26"/>
        <v>0.0</v>
      </c>
      <c r="I163" s="122">
        <f t="shared" si="26"/>
        <v>0.0</v>
      </c>
      <c r="J163" s="122">
        <f t="shared" si="26"/>
        <v>0.0</v>
      </c>
    </row>
    <row r="164" spans="8:8">
      <c r="A164" s="120" t="s">
        <v>546</v>
      </c>
      <c r="B164" s="79" t="s">
        <v>367</v>
      </c>
      <c r="C164" s="79">
        <v>2000.0</v>
      </c>
      <c r="D164" s="122">
        <f>(B62*10%)*$C164*D$149</f>
        <v>0.0</v>
      </c>
      <c r="E164" s="122">
        <f t="shared" si="27" ref="E164:J164">(C62*10%)*$C164*E$149</f>
        <v>0.0</v>
      </c>
      <c r="F164" s="122">
        <f t="shared" si="27"/>
        <v>0.0</v>
      </c>
      <c r="G164" s="122">
        <f t="shared" si="27"/>
        <v>0.0</v>
      </c>
      <c r="H164" s="122">
        <f t="shared" si="27"/>
        <v>0.0</v>
      </c>
      <c r="I164" s="122">
        <f t="shared" si="27"/>
        <v>0.0</v>
      </c>
      <c r="J164" s="122">
        <f t="shared" si="27"/>
        <v>0.0</v>
      </c>
    </row>
    <row r="165" spans="8:8">
      <c r="A165" s="120" t="s">
        <v>324</v>
      </c>
      <c r="B165" s="79">
        <v>5.0</v>
      </c>
      <c r="C165" s="79">
        <v>300.0</v>
      </c>
      <c r="D165" s="122">
        <f t="shared" si="28" ref="D165:J165">B12*$B$165*$C$165*D149</f>
        <v>0.0</v>
      </c>
      <c r="E165" s="122">
        <f t="shared" si="28"/>
        <v>0.0</v>
      </c>
      <c r="F165" s="122">
        <f t="shared" si="28"/>
        <v>0.0</v>
      </c>
      <c r="G165" s="122">
        <f t="shared" si="28"/>
        <v>0.0</v>
      </c>
      <c r="H165" s="122">
        <f t="shared" si="28"/>
        <v>0.0</v>
      </c>
      <c r="I165" s="122">
        <f t="shared" si="28"/>
        <v>0.0</v>
      </c>
      <c r="J165" s="122">
        <f t="shared" si="28"/>
        <v>0.0</v>
      </c>
    </row>
    <row r="166" spans="8:8">
      <c r="A166" s="120" t="s">
        <v>145</v>
      </c>
      <c r="B166" s="120">
        <f>'2.Capex Details'!H61*0.746*8</f>
        <v>0.0</v>
      </c>
      <c r="C166" s="79">
        <v>8.0</v>
      </c>
      <c r="D166" s="122">
        <f t="shared" si="29" ref="D166:J166">$B$166*$C$166*B12*D149</f>
        <v>0.0</v>
      </c>
      <c r="E166" s="122">
        <f t="shared" si="29"/>
        <v>0.0</v>
      </c>
      <c r="F166" s="122">
        <f t="shared" si="29"/>
        <v>0.0</v>
      </c>
      <c r="G166" s="122">
        <f t="shared" si="29"/>
        <v>0.0</v>
      </c>
      <c r="H166" s="122">
        <f t="shared" si="29"/>
        <v>0.0</v>
      </c>
      <c r="I166" s="122">
        <f t="shared" si="29"/>
        <v>0.0</v>
      </c>
      <c r="J166" s="122">
        <f t="shared" si="29"/>
        <v>0.0</v>
      </c>
    </row>
    <row r="167" spans="8:8">
      <c r="A167" s="120" t="s">
        <v>297</v>
      </c>
      <c r="B167" s="120" t="s">
        <v>367</v>
      </c>
      <c r="C167" s="79">
        <v>10.0</v>
      </c>
      <c r="D167" s="122">
        <f>B62*$C167*D$149</f>
        <v>0.0</v>
      </c>
      <c r="E167" s="122">
        <f t="shared" si="30" ref="E167:J167">C62*$C167*E$149</f>
        <v>0.0</v>
      </c>
      <c r="F167" s="122">
        <f t="shared" si="30"/>
        <v>0.0</v>
      </c>
      <c r="G167" s="122">
        <f t="shared" si="30"/>
        <v>0.0</v>
      </c>
      <c r="H167" s="122">
        <f t="shared" si="30"/>
        <v>0.0</v>
      </c>
      <c r="I167" s="122">
        <f t="shared" si="30"/>
        <v>0.0</v>
      </c>
      <c r="J167" s="122">
        <f t="shared" si="30"/>
        <v>0.0</v>
      </c>
    </row>
    <row r="168" spans="8:8">
      <c r="A168" s="321" t="s">
        <v>298</v>
      </c>
      <c r="B168" s="321"/>
      <c r="C168" s="457">
        <v>2.0</v>
      </c>
      <c r="D168" s="122">
        <f>SUM(B141:B143)*$C$168*D$149</f>
        <v>0.0</v>
      </c>
      <c r="E168" s="122">
        <f t="shared" si="31" ref="E168:J168">SUM(C141:C143)*$C$168*E$149</f>
        <v>0.0</v>
      </c>
      <c r="F168" s="122">
        <f t="shared" si="31"/>
        <v>0.0</v>
      </c>
      <c r="G168" s="122">
        <f t="shared" si="31"/>
        <v>0.0</v>
      </c>
      <c r="H168" s="122">
        <f t="shared" si="31"/>
        <v>0.0</v>
      </c>
      <c r="I168" s="122">
        <f t="shared" si="31"/>
        <v>0.0</v>
      </c>
      <c r="J168" s="122">
        <f t="shared" si="31"/>
        <v>0.0</v>
      </c>
    </row>
    <row r="169" spans="8:8">
      <c r="A169" s="120" t="s">
        <v>299</v>
      </c>
      <c r="B169" s="120"/>
      <c r="C169" s="79">
        <v>1.0</v>
      </c>
      <c r="D169" s="122">
        <f>SUM(B141:B143)*$C$169*D$149</f>
        <v>0.0</v>
      </c>
      <c r="E169" s="122">
        <f t="shared" si="32" ref="E169:J169">SUM(C141:C143)*$C$169*E$149</f>
        <v>0.0</v>
      </c>
      <c r="F169" s="122">
        <f t="shared" si="32"/>
        <v>0.0</v>
      </c>
      <c r="G169" s="122">
        <f t="shared" si="32"/>
        <v>0.0</v>
      </c>
      <c r="H169" s="122">
        <f t="shared" si="32"/>
        <v>0.0</v>
      </c>
      <c r="I169" s="122">
        <f t="shared" si="32"/>
        <v>0.0</v>
      </c>
      <c r="J169" s="122">
        <f t="shared" si="32"/>
        <v>0.0</v>
      </c>
    </row>
    <row r="170" spans="8:8">
      <c r="A170" s="206"/>
      <c r="B170" s="206"/>
      <c r="C170" s="206"/>
      <c r="D170" s="206"/>
      <c r="E170" s="206"/>
      <c r="F170" s="206"/>
      <c r="G170" s="206"/>
      <c r="H170" s="206"/>
      <c r="I170" s="206"/>
      <c r="J170" s="206"/>
    </row>
    <row r="171" spans="8:8">
      <c r="A171" s="206"/>
      <c r="B171" s="206"/>
      <c r="C171" s="206"/>
      <c r="D171" s="206"/>
      <c r="E171" s="206"/>
      <c r="F171" s="206"/>
      <c r="G171" s="206"/>
      <c r="H171" s="206"/>
      <c r="I171" s="206"/>
      <c r="J171" s="206"/>
    </row>
    <row r="172" spans="8:8">
      <c r="A172" s="206"/>
      <c r="B172" s="206"/>
      <c r="C172" s="206"/>
      <c r="D172" s="206"/>
      <c r="E172" s="206"/>
      <c r="F172" s="206"/>
      <c r="G172" s="206"/>
      <c r="H172" s="206"/>
      <c r="I172" s="206"/>
      <c r="J172" s="206"/>
    </row>
    <row r="173" spans="8:8">
      <c r="A173" s="206"/>
      <c r="B173" s="206"/>
      <c r="C173" s="206"/>
      <c r="D173" s="206"/>
      <c r="E173" s="206"/>
      <c r="F173" s="206"/>
      <c r="G173" s="206"/>
      <c r="H173" s="206"/>
      <c r="I173" s="206"/>
      <c r="J173" s="206"/>
    </row>
    <row r="174" spans="8:8">
      <c r="A174" s="458" t="s">
        <v>347</v>
      </c>
      <c r="B174" s="122"/>
      <c r="C174" s="122"/>
      <c r="D174" s="122"/>
      <c r="E174" s="122">
        <f>'5.Closing Stock &amp; W Capital'!F8</f>
        <v>0.0</v>
      </c>
      <c r="F174" s="122">
        <f>'5.Closing Stock &amp; W Capital'!G8</f>
        <v>0.0</v>
      </c>
      <c r="G174" s="122">
        <f>'5.Closing Stock &amp; W Capital'!H8</f>
        <v>0.0</v>
      </c>
      <c r="H174" s="122">
        <f>'5.Closing Stock &amp; W Capital'!I8</f>
        <v>0.0</v>
      </c>
      <c r="I174" s="122">
        <f>'5.Closing Stock &amp; W Capital'!J8</f>
        <v>0.0</v>
      </c>
      <c r="J174" s="122">
        <f>'5.Closing Stock &amp; W Capital'!K8</f>
        <v>0.0</v>
      </c>
    </row>
    <row r="175" spans="8:8">
      <c r="A175" s="458" t="s">
        <v>348</v>
      </c>
      <c r="B175" s="122"/>
      <c r="C175" s="122"/>
      <c r="D175" s="122">
        <f>'5.Closing Stock &amp; W Capital'!E17</f>
        <v>0.0</v>
      </c>
      <c r="E175" s="122">
        <f>'5.Closing Stock &amp; W Capital'!F17</f>
        <v>0.0</v>
      </c>
      <c r="F175" s="122">
        <f>'5.Closing Stock &amp; W Capital'!G17</f>
        <v>0.0</v>
      </c>
      <c r="G175" s="122">
        <f>'5.Closing Stock &amp; W Capital'!H17</f>
        <v>0.0</v>
      </c>
      <c r="H175" s="122">
        <f>'5.Closing Stock &amp; W Capital'!I17</f>
        <v>0.0</v>
      </c>
      <c r="I175" s="122">
        <f>'5.Closing Stock &amp; W Capital'!J17</f>
        <v>0.0</v>
      </c>
      <c r="J175" s="122">
        <f>'5.Closing Stock &amp; W Capital'!K17</f>
        <v>0.0</v>
      </c>
    </row>
    <row r="176" spans="8:8">
      <c r="A176" s="122"/>
      <c r="B176" s="122"/>
      <c r="C176" s="122"/>
      <c r="D176" s="122"/>
      <c r="E176" s="122"/>
      <c r="F176" s="122"/>
      <c r="G176" s="122"/>
      <c r="H176" s="122"/>
      <c r="I176" s="122"/>
      <c r="J176" s="122"/>
    </row>
    <row r="177" spans="8:8">
      <c r="A177" s="124" t="s">
        <v>325</v>
      </c>
      <c r="B177" s="122"/>
      <c r="C177" s="122"/>
      <c r="D177" s="124">
        <f t="shared" si="33" ref="D177:J177">SUM(D163:D174)-D175</f>
        <v>0.0</v>
      </c>
      <c r="E177" s="124">
        <f t="shared" si="33"/>
        <v>0.0</v>
      </c>
      <c r="F177" s="124">
        <f t="shared" si="33"/>
        <v>0.0</v>
      </c>
      <c r="G177" s="124">
        <f t="shared" si="33"/>
        <v>0.0</v>
      </c>
      <c r="H177" s="124">
        <f t="shared" si="33"/>
        <v>0.0</v>
      </c>
      <c r="I177" s="124">
        <f t="shared" si="33"/>
        <v>0.0</v>
      </c>
      <c r="J177" s="124">
        <f t="shared" si="33"/>
        <v>0.0</v>
      </c>
    </row>
    <row r="178" spans="8:8">
      <c r="A178" s="115"/>
      <c r="B178" s="115"/>
      <c r="C178" s="115"/>
      <c r="D178" s="115"/>
      <c r="E178" s="115"/>
      <c r="F178" s="115"/>
      <c r="G178" s="115"/>
      <c r="H178" s="115"/>
      <c r="I178" s="115"/>
      <c r="J178" s="115"/>
    </row>
    <row r="179" spans="8:8">
      <c r="A179" s="459" t="s">
        <v>312</v>
      </c>
      <c r="B179" s="459"/>
      <c r="C179" s="459"/>
      <c r="D179" s="124"/>
      <c r="E179" s="124"/>
      <c r="F179" s="124"/>
      <c r="G179" s="124"/>
      <c r="H179" s="124"/>
      <c r="I179" s="124"/>
      <c r="J179" s="124"/>
    </row>
    <row r="180" spans="8:8">
      <c r="A180" s="120" t="s">
        <v>188</v>
      </c>
      <c r="B180" s="79">
        <v>1.0</v>
      </c>
      <c r="C180" s="121"/>
      <c r="D180" s="122">
        <f t="shared" si="34" ref="D180:J180">$B$180*$C$180*12*D149</f>
        <v>0.0</v>
      </c>
      <c r="E180" s="122">
        <f t="shared" si="34"/>
        <v>0.0</v>
      </c>
      <c r="F180" s="122">
        <f t="shared" si="34"/>
        <v>0.0</v>
      </c>
      <c r="G180" s="122">
        <f t="shared" si="34"/>
        <v>0.0</v>
      </c>
      <c r="H180" s="122">
        <f t="shared" si="34"/>
        <v>0.0</v>
      </c>
      <c r="I180" s="122">
        <f t="shared" si="34"/>
        <v>0.0</v>
      </c>
      <c r="J180" s="122">
        <f t="shared" si="34"/>
        <v>0.0</v>
      </c>
    </row>
    <row r="181" spans="8:8">
      <c r="A181" s="120" t="s">
        <v>193</v>
      </c>
      <c r="B181" s="79">
        <v>2.0</v>
      </c>
      <c r="C181" s="121"/>
      <c r="D181" s="122">
        <f t="shared" si="35" ref="D181:J181">$B$181*$C$181*12*D149</f>
        <v>0.0</v>
      </c>
      <c r="E181" s="122">
        <f t="shared" si="35"/>
        <v>0.0</v>
      </c>
      <c r="F181" s="122">
        <f t="shared" si="35"/>
        <v>0.0</v>
      </c>
      <c r="G181" s="122">
        <f t="shared" si="35"/>
        <v>0.0</v>
      </c>
      <c r="H181" s="122">
        <f t="shared" si="35"/>
        <v>0.0</v>
      </c>
      <c r="I181" s="122">
        <f t="shared" si="35"/>
        <v>0.0</v>
      </c>
      <c r="J181" s="122">
        <f t="shared" si="35"/>
        <v>0.0</v>
      </c>
    </row>
    <row r="182" spans="8:8">
      <c r="A182" s="120"/>
      <c r="B182" s="79"/>
      <c r="C182" s="121"/>
      <c r="D182" s="122"/>
      <c r="E182" s="122"/>
      <c r="F182" s="122"/>
      <c r="G182" s="122"/>
      <c r="H182" s="122"/>
      <c r="I182" s="122"/>
      <c r="J182" s="122"/>
    </row>
    <row r="183" spans="8:8">
      <c r="A183" s="120"/>
      <c r="B183" s="79"/>
      <c r="C183" s="121"/>
      <c r="D183" s="122"/>
      <c r="E183" s="122"/>
      <c r="F183" s="122"/>
      <c r="G183" s="122"/>
      <c r="H183" s="122"/>
      <c r="I183" s="122"/>
      <c r="J183" s="122"/>
    </row>
    <row r="184" spans="8:8">
      <c r="A184" s="120"/>
      <c r="B184" s="79"/>
      <c r="C184" s="121"/>
      <c r="D184" s="122"/>
      <c r="E184" s="122"/>
      <c r="F184" s="122"/>
      <c r="G184" s="122"/>
      <c r="H184" s="122"/>
      <c r="I184" s="122"/>
      <c r="J184" s="122"/>
    </row>
    <row r="185" spans="8:8">
      <c r="A185" s="123" t="s">
        <v>312</v>
      </c>
      <c r="B185" s="123"/>
      <c r="C185" s="123"/>
      <c r="D185" s="124">
        <f>SUM(D180:D184)</f>
        <v>0.0</v>
      </c>
      <c r="E185" s="124">
        <f t="shared" si="36" ref="E185:J185">SUM(E180:E184)</f>
        <v>0.0</v>
      </c>
      <c r="F185" s="124">
        <f t="shared" si="36"/>
        <v>0.0</v>
      </c>
      <c r="G185" s="124">
        <f t="shared" si="36"/>
        <v>0.0</v>
      </c>
      <c r="H185" s="124">
        <f t="shared" si="36"/>
        <v>0.0</v>
      </c>
      <c r="I185" s="124">
        <f t="shared" si="36"/>
        <v>0.0</v>
      </c>
      <c r="J185" s="124">
        <f t="shared" si="36"/>
        <v>0.0</v>
      </c>
    </row>
    <row r="186" spans="8:8">
      <c r="A186" s="459" t="s">
        <v>300</v>
      </c>
      <c r="B186" s="459"/>
      <c r="C186" s="459"/>
      <c r="D186" s="124">
        <f>D177+D185</f>
        <v>0.0</v>
      </c>
      <c r="E186" s="124">
        <f t="shared" si="37" ref="E186:J186">E177+E185</f>
        <v>0.0</v>
      </c>
      <c r="F186" s="124">
        <f t="shared" si="37"/>
        <v>0.0</v>
      </c>
      <c r="G186" s="124">
        <f t="shared" si="37"/>
        <v>0.0</v>
      </c>
      <c r="H186" s="124">
        <f t="shared" si="37"/>
        <v>0.0</v>
      </c>
      <c r="I186" s="124">
        <f t="shared" si="37"/>
        <v>0.0</v>
      </c>
      <c r="J186" s="124">
        <f t="shared" si="37"/>
        <v>0.0</v>
      </c>
    </row>
    <row r="187" spans="8:8">
      <c r="A187" s="120"/>
      <c r="B187" s="120"/>
      <c r="C187" s="120"/>
      <c r="D187" s="122"/>
      <c r="E187" s="122"/>
      <c r="F187" s="122"/>
      <c r="G187" s="122"/>
      <c r="H187" s="122"/>
      <c r="I187" s="122"/>
      <c r="J187" s="122"/>
    </row>
    <row r="188" spans="8:8">
      <c r="A188" s="123" t="s">
        <v>7</v>
      </c>
      <c r="B188" s="123"/>
      <c r="C188" s="123"/>
      <c r="D188" s="124">
        <f t="shared" si="38" ref="D188:J188">D159-D186</f>
        <v>0.0</v>
      </c>
      <c r="E188" s="124">
        <f t="shared" si="38"/>
        <v>0.0</v>
      </c>
      <c r="F188" s="124">
        <f t="shared" si="38"/>
        <v>0.0</v>
      </c>
      <c r="G188" s="124">
        <f t="shared" si="38"/>
        <v>0.0</v>
      </c>
      <c r="H188" s="124">
        <f t="shared" si="38"/>
        <v>0.0</v>
      </c>
      <c r="I188" s="124">
        <f t="shared" si="38"/>
        <v>0.0</v>
      </c>
      <c r="J188" s="124">
        <f t="shared" si="38"/>
        <v>0.0</v>
      </c>
    </row>
    <row r="189" spans="8:8">
      <c r="A189" s="317"/>
      <c r="B189" s="317"/>
      <c r="C189" s="317"/>
      <c r="D189" s="115"/>
      <c r="E189" s="115"/>
      <c r="F189" s="115"/>
      <c r="G189" s="115"/>
      <c r="H189" s="115"/>
      <c r="I189" s="115"/>
      <c r="J189" s="115"/>
    </row>
    <row r="190" spans="8:8">
      <c r="A190" s="115"/>
      <c r="B190" s="115"/>
      <c r="C190" s="115"/>
      <c r="D190" s="115"/>
      <c r="E190" s="115"/>
      <c r="F190" s="115"/>
      <c r="G190" s="115"/>
      <c r="H190" s="115"/>
      <c r="I190" s="115"/>
      <c r="J190" s="115"/>
    </row>
    <row r="191" spans="8:8">
      <c r="A191" s="115"/>
      <c r="B191" s="115"/>
      <c r="C191" s="115"/>
      <c r="D191" s="115"/>
      <c r="E191" s="115"/>
      <c r="F191" s="115"/>
      <c r="G191" s="115"/>
      <c r="H191" s="115"/>
      <c r="I191" s="115"/>
      <c r="J191" s="115"/>
    </row>
    <row r="192" spans="8:8">
      <c r="A192" s="49" t="s">
        <v>432</v>
      </c>
      <c r="B192" s="49"/>
      <c r="C192" s="49"/>
      <c r="D192" s="49"/>
      <c r="E192" s="49"/>
      <c r="F192" s="49"/>
      <c r="G192" s="49"/>
      <c r="H192" s="49"/>
      <c r="I192" s="49"/>
      <c r="J192" s="49"/>
    </row>
    <row r="194" spans="8:8">
      <c r="A194" t="s">
        <v>553</v>
      </c>
    </row>
    <row r="195" spans="8:8">
      <c r="A195">
        <v>1.0</v>
      </c>
      <c r="B195" t="s">
        <v>566</v>
      </c>
    </row>
    <row r="196" spans="8:8">
      <c r="A196">
        <v>2.0</v>
      </c>
      <c r="B196" t="s">
        <v>567</v>
      </c>
      <c r="C196" s="237"/>
      <c r="D196" s="237"/>
      <c r="E196" s="237"/>
    </row>
    <row r="197" spans="8:8">
      <c r="A197">
        <v>3.0</v>
      </c>
      <c r="B197" s="115" t="s">
        <v>619</v>
      </c>
    </row>
  </sheetData>
  <mergeCells count="4">
    <mergeCell ref="A3:H3"/>
    <mergeCell ref="A147:J147"/>
    <mergeCell ref="A192:J192"/>
    <mergeCell ref="A4:H4"/>
  </mergeCells>
  <pageMargins left="0.7" right="0.7" top="0.75" bottom="0.75" header="0.3" footer="0.3"/>
  <pageSetup paperSize="9" scale="47"/>
</worksheet>
</file>

<file path=xl/worksheets/sheet2.xml><?xml version="1.0" encoding="utf-8"?>
<worksheet xmlns:r="http://schemas.openxmlformats.org/officeDocument/2006/relationships" xmlns="http://schemas.openxmlformats.org/spreadsheetml/2006/main">
  <dimension ref="A1:N33"/>
  <sheetViews>
    <sheetView workbookViewId="0" topLeftCell="A28" zoomScale="115">
      <selection activeCell="D5" sqref="D5"/>
    </sheetView>
  </sheetViews>
  <sheetFormatPr defaultRowHeight="15.0" defaultColWidth="10"/>
  <cols>
    <col min="2" max="2" customWidth="1" bestFit="1" width="7.5703125" style="0"/>
    <col min="3" max="3" customWidth="1" bestFit="1" width="26.140625" style="0"/>
    <col min="4" max="4" customWidth="1" width="15.0" style="0"/>
    <col min="5" max="5" customWidth="1" width="16.0" style="0"/>
    <col min="6" max="6" customWidth="1" width="17.855469" style="0"/>
  </cols>
  <sheetData>
    <row r="2" spans="8:8" ht="18.75">
      <c r="B2" s="30" t="s">
        <v>570</v>
      </c>
      <c r="C2" s="30"/>
      <c r="D2" s="30"/>
      <c r="E2" s="30"/>
      <c r="F2" s="30"/>
    </row>
    <row r="4" spans="8:8">
      <c r="B4" s="31" t="s">
        <v>146</v>
      </c>
      <c r="C4" s="31" t="s">
        <v>128</v>
      </c>
      <c r="D4" s="31" t="s">
        <v>158</v>
      </c>
      <c r="E4" s="32" t="s">
        <v>477</v>
      </c>
      <c r="F4" s="32" t="s">
        <v>478</v>
      </c>
    </row>
    <row r="5" spans="8:8">
      <c r="B5" s="33">
        <v>1.0</v>
      </c>
      <c r="C5" s="34" t="str">
        <f>'2.Capex Details'!B2</f>
        <v>Land and Building</v>
      </c>
      <c r="D5" s="35">
        <f>'2.Capex Details'!G12</f>
        <v>2.2109604E7</v>
      </c>
      <c r="E5" s="36">
        <v>0.6</v>
      </c>
      <c r="F5" s="37">
        <f>D5*E5</f>
        <v>1.32657624E7</v>
      </c>
    </row>
    <row r="6" spans="8:8">
      <c r="B6" s="33">
        <v>2.0</v>
      </c>
      <c r="C6" s="34" t="str">
        <f>'2.Capex Details'!B17</f>
        <v>Machinery and Equipment</v>
      </c>
      <c r="D6" s="35">
        <f>'2.Capex Details'!G63</f>
        <v>5118245.0</v>
      </c>
      <c r="E6" s="36">
        <v>0.6</v>
      </c>
      <c r="F6" s="37">
        <f t="shared" si="0" ref="F6:F10">D6*E6</f>
        <v>3070947.0</v>
      </c>
    </row>
    <row r="7" spans="8:8">
      <c r="B7" s="33">
        <v>3.0</v>
      </c>
      <c r="C7" s="34" t="str">
        <f>'2.Capex Details'!B69</f>
        <v>Furniture and Fixture</v>
      </c>
      <c r="D7" s="35">
        <f>'2.Capex Details'!F78</f>
        <v>0.0</v>
      </c>
      <c r="E7" s="36">
        <v>0.6</v>
      </c>
      <c r="F7" s="37">
        <f t="shared" si="0"/>
        <v>0.0</v>
      </c>
    </row>
    <row r="8" spans="8:8">
      <c r="B8" s="33">
        <v>4.0</v>
      </c>
      <c r="C8" s="34" t="str">
        <f>'2.Capex Details'!B83</f>
        <v>IT &amp; It Infrastracture</v>
      </c>
      <c r="D8" s="35">
        <f>'2.Capex Details'!F92</f>
        <v>0.0</v>
      </c>
      <c r="E8" s="36">
        <v>0.6</v>
      </c>
      <c r="F8" s="37">
        <f t="shared" si="0"/>
        <v>0.0</v>
      </c>
    </row>
    <row r="9" spans="8:8" ht="25.5">
      <c r="B9" s="33">
        <v>5.0</v>
      </c>
      <c r="C9" s="34" t="str">
        <f>'2.Capex Details'!B97</f>
        <v>Transport vehical  (Refer van and other)</v>
      </c>
      <c r="D9" s="35">
        <f>'2.Capex Details'!F103</f>
        <v>0.0</v>
      </c>
      <c r="E9" s="36">
        <v>0.6</v>
      </c>
      <c r="F9" s="37">
        <f t="shared" si="0"/>
        <v>0.0</v>
      </c>
    </row>
    <row r="10" spans="8:8">
      <c r="B10" s="33">
        <v>6.0</v>
      </c>
      <c r="C10" s="34" t="str">
        <f>'2.Capex Details'!B107</f>
        <v>Preliminary Expenses</v>
      </c>
      <c r="D10" s="35">
        <f>'2.Capex Details'!D115</f>
        <v>1361392.0</v>
      </c>
      <c r="E10" s="36">
        <v>0.6</v>
      </c>
      <c r="F10" s="37">
        <f t="shared" si="0"/>
        <v>816835.2</v>
      </c>
      <c r="L10" t="s">
        <v>424</v>
      </c>
    </row>
    <row r="11" spans="8:8">
      <c r="B11" s="33">
        <v>7.0</v>
      </c>
      <c r="C11" s="34" t="s">
        <v>156</v>
      </c>
      <c r="D11" s="35">
        <f>'5.Closing Stock &amp; W Capital'!E56</f>
        <v>0.0</v>
      </c>
      <c r="E11" s="38"/>
      <c r="F11" s="38"/>
    </row>
    <row r="12" spans="8:8">
      <c r="B12" s="39" t="s">
        <v>1</v>
      </c>
      <c r="C12" s="39"/>
      <c r="D12" s="40">
        <f>SUM(D5:D11)</f>
        <v>2.8589241E7</v>
      </c>
      <c r="E12" s="38"/>
      <c r="F12" s="40">
        <f>SUM(F5:F11)</f>
        <v>1.71535446E7</v>
      </c>
    </row>
    <row r="13" spans="8:8">
      <c r="D13" s="41"/>
      <c r="M13">
        <v>48.0</v>
      </c>
    </row>
    <row r="14" spans="8:8" ht="25.5" customHeight="1">
      <c r="A14" s="42" t="s">
        <v>425</v>
      </c>
      <c r="B14" s="42"/>
      <c r="C14" s="42"/>
      <c r="D14" s="42"/>
      <c r="E14" s="42"/>
      <c r="F14" s="42"/>
      <c r="M14">
        <v>11.64</v>
      </c>
    </row>
    <row r="15" spans="8:8">
      <c r="M15">
        <f>M13+M14</f>
        <v>59.64</v>
      </c>
    </row>
    <row r="16" spans="8:8" ht="18.75">
      <c r="B16" s="30" t="s">
        <v>571</v>
      </c>
      <c r="C16" s="30"/>
      <c r="D16" s="30"/>
      <c r="E16" s="30"/>
      <c r="F16" s="30"/>
      <c r="M16">
        <v>19.05</v>
      </c>
    </row>
    <row r="17" spans="8:8">
      <c r="M17">
        <f>M15+M16</f>
        <v>78.69</v>
      </c>
    </row>
    <row r="18" spans="8:8">
      <c r="B18" s="43" t="s">
        <v>146</v>
      </c>
      <c r="C18" s="31" t="s">
        <v>128</v>
      </c>
      <c r="D18" s="31" t="s">
        <v>666</v>
      </c>
      <c r="E18" s="31" t="s">
        <v>158</v>
      </c>
    </row>
    <row r="19" spans="8:8" ht="25.5">
      <c r="B19" s="33">
        <v>1.0</v>
      </c>
      <c r="C19" s="34" t="s">
        <v>337</v>
      </c>
      <c r="D19" s="44"/>
      <c r="E19" s="45">
        <f>F12</f>
        <v>1.71535446E7</v>
      </c>
      <c r="G19" s="46"/>
    </row>
    <row r="20" spans="8:8">
      <c r="B20" s="33">
        <v>2.0</v>
      </c>
      <c r="C20" s="34" t="s">
        <v>157</v>
      </c>
      <c r="D20" s="47">
        <v>0.3</v>
      </c>
      <c r="E20" s="45">
        <f>D12*D20</f>
        <v>8576772.299999999</v>
      </c>
      <c r="F20" s="41"/>
      <c r="G20" s="41"/>
    </row>
    <row r="21" spans="8:8">
      <c r="B21" s="33">
        <v>3.0</v>
      </c>
      <c r="C21" s="34" t="s">
        <v>135</v>
      </c>
      <c r="D21" s="45"/>
      <c r="E21" s="45">
        <f>D12-E19-E20</f>
        <v>2858924.0999999996</v>
      </c>
      <c r="F21" s="41"/>
      <c r="G21" s="41"/>
    </row>
    <row r="22" spans="8:8">
      <c r="B22" s="39" t="s">
        <v>1</v>
      </c>
      <c r="C22" s="39"/>
      <c r="D22" s="48"/>
      <c r="E22" s="48">
        <f>SUM(E19:E21)</f>
        <v>2.8589241E7</v>
      </c>
      <c r="F22" s="41"/>
    </row>
    <row r="24" spans="8:8">
      <c r="B24" s="49" t="s">
        <v>426</v>
      </c>
      <c r="C24" s="49"/>
      <c r="D24" s="49"/>
      <c r="E24" s="49"/>
      <c r="F24" s="49"/>
    </row>
    <row r="26" spans="8:8" ht="18.75">
      <c r="B26" s="50" t="s">
        <v>572</v>
      </c>
      <c r="C26" s="50"/>
      <c r="D26" s="50"/>
      <c r="E26" s="50"/>
      <c r="F26" s="50"/>
    </row>
    <row r="27" spans="8:8">
      <c r="B27" s="51" t="s">
        <v>146</v>
      </c>
      <c r="C27" s="52" t="s">
        <v>622</v>
      </c>
      <c r="D27" s="53" t="s">
        <v>623</v>
      </c>
      <c r="E27" s="54" t="s">
        <v>624</v>
      </c>
      <c r="F27" s="55" t="s">
        <v>625</v>
      </c>
      <c r="G27" s="56"/>
    </row>
    <row r="28" spans="8:8" ht="25.5">
      <c r="B28" s="57">
        <v>1.0</v>
      </c>
      <c r="C28" s="34" t="s">
        <v>383</v>
      </c>
      <c r="D28" s="58">
        <f>'9. Financial indiacators'!C49</f>
        <v>0.4014659967410485</v>
      </c>
      <c r="E28" s="57" t="s">
        <v>384</v>
      </c>
      <c r="F28" s="59" t="s">
        <v>626</v>
      </c>
      <c r="G28" s="57" t="s">
        <v>385</v>
      </c>
    </row>
    <row r="29" spans="8:8" ht="38.25">
      <c r="B29" s="57">
        <v>2.0</v>
      </c>
      <c r="C29" s="34" t="s">
        <v>386</v>
      </c>
      <c r="D29" s="60">
        <f>'9. Financial indiacators'!C85</f>
        <v>0.20423802224346843</v>
      </c>
      <c r="E29" s="57" t="s">
        <v>384</v>
      </c>
      <c r="F29" s="59" t="s">
        <v>627</v>
      </c>
      <c r="G29" s="57" t="s">
        <v>387</v>
      </c>
    </row>
    <row r="30" spans="8:8" ht="38.25">
      <c r="B30" s="57">
        <v>3.0</v>
      </c>
      <c r="C30" s="34" t="s">
        <v>388</v>
      </c>
      <c r="D30" s="58">
        <f>'9. Financial indiacators'!C16</f>
        <v>0.12770530347143083</v>
      </c>
      <c r="E30" s="57" t="s">
        <v>384</v>
      </c>
      <c r="F30" s="59" t="s">
        <v>628</v>
      </c>
      <c r="G30" s="57" t="s">
        <v>389</v>
      </c>
    </row>
    <row r="31" spans="8:8" ht="63.75">
      <c r="B31" s="57">
        <v>4.0</v>
      </c>
      <c r="C31" s="34" t="s">
        <v>390</v>
      </c>
      <c r="D31" s="61">
        <f>'9. Financial indiacators'!C73</f>
        <v>3190664.3842061013</v>
      </c>
      <c r="E31" s="57" t="s">
        <v>394</v>
      </c>
      <c r="F31" s="59" t="s">
        <v>629</v>
      </c>
      <c r="G31" s="57" t="s">
        <v>391</v>
      </c>
    </row>
    <row r="32" spans="8:8" ht="38.25">
      <c r="B32" s="57">
        <v>5.0</v>
      </c>
      <c r="C32" s="34" t="s">
        <v>392</v>
      </c>
      <c r="D32" s="62">
        <f>'9. Financial indiacators'!D101</f>
        <v>4.955606137011116</v>
      </c>
      <c r="E32" s="57" t="s">
        <v>384</v>
      </c>
      <c r="F32" s="59" t="s">
        <v>630</v>
      </c>
      <c r="G32" s="57" t="s">
        <v>395</v>
      </c>
    </row>
    <row r="33" spans="8:8" ht="38.25">
      <c r="B33" s="57">
        <v>6.0</v>
      </c>
      <c r="C33" s="63" t="s">
        <v>393</v>
      </c>
      <c r="D33" s="62">
        <f>'9. Financial indiacators'!C119</f>
        <v>1.844733726909291</v>
      </c>
      <c r="E33" s="64" t="s">
        <v>384</v>
      </c>
      <c r="F33" s="59" t="s">
        <v>631</v>
      </c>
      <c r="G33" s="63" t="s">
        <v>396</v>
      </c>
    </row>
  </sheetData>
  <mergeCells count="8">
    <mergeCell ref="F27:G27"/>
    <mergeCell ref="B26:F26"/>
    <mergeCell ref="B16:F16"/>
    <mergeCell ref="B24:F24"/>
    <mergeCell ref="A14:F14"/>
    <mergeCell ref="B12:C12"/>
    <mergeCell ref="B22:C22"/>
    <mergeCell ref="B2:F2"/>
  </mergeCells>
  <conditionalFormatting sqref="D23">
    <cfRule type="cellIs" operator="greaterThan" priority="1" dxfId="0">
      <formula>0</formula>
    </cfRule>
  </conditionalFormatting>
  <pageMargins left="0.7" right="0.7" top="0.75" bottom="0.75" header="0.3" footer="0.3"/>
  <pageSetup paperSize="9" scale="89"/>
</worksheet>
</file>

<file path=xl/worksheets/sheet3.xml><?xml version="1.0" encoding="utf-8"?>
<worksheet xmlns:r="http://schemas.openxmlformats.org/officeDocument/2006/relationships" xmlns="http://schemas.openxmlformats.org/spreadsheetml/2006/main">
  <dimension ref="A1:L117"/>
  <sheetViews>
    <sheetView tabSelected="1" workbookViewId="0" topLeftCell="A88" zoomScale="70">
      <selection activeCell="F54" sqref="F54"/>
    </sheetView>
  </sheetViews>
  <sheetFormatPr defaultRowHeight="15.0" defaultColWidth="10"/>
  <cols>
    <col min="2" max="2" customWidth="1" bestFit="1" width="7.5703125" style="0"/>
    <col min="3" max="3" customWidth="1" width="41.570312" style="0"/>
    <col min="4" max="4" customWidth="1" width="15.140625" style="0"/>
    <col min="5" max="5" customWidth="1" width="17.0" style="0"/>
    <col min="6" max="6" customWidth="1" bestFit="1" width="14.0" style="0"/>
    <col min="7" max="7" customWidth="1" width="17.285156" style="0"/>
    <col min="8" max="8" customWidth="1" bestFit="1" width="11.5703125" style="0"/>
  </cols>
  <sheetData>
    <row r="2" spans="8:8" ht="18.75">
      <c r="A2">
        <v>2.1</v>
      </c>
      <c r="B2" s="30" t="s">
        <v>154</v>
      </c>
      <c r="C2" s="30"/>
      <c r="D2" s="30"/>
      <c r="E2" s="30"/>
      <c r="F2" s="30"/>
      <c r="G2" s="30"/>
    </row>
    <row r="4" spans="8:8">
      <c r="B4" s="65" t="s">
        <v>146</v>
      </c>
      <c r="C4" s="65" t="s">
        <v>128</v>
      </c>
      <c r="D4" s="65" t="s">
        <v>133</v>
      </c>
      <c r="E4" s="65" t="s">
        <v>147</v>
      </c>
      <c r="F4" s="65" t="s">
        <v>148</v>
      </c>
      <c r="G4" s="65" t="s">
        <v>158</v>
      </c>
    </row>
    <row r="5" spans="8:8">
      <c r="B5" s="66"/>
      <c r="C5" s="66"/>
      <c r="D5" s="66"/>
      <c r="E5" s="67"/>
      <c r="F5" s="68"/>
      <c r="G5" s="69"/>
    </row>
    <row r="6" spans="8:8">
      <c r="B6" s="66">
        <v>1.0</v>
      </c>
      <c r="C6" s="66" t="s">
        <v>727</v>
      </c>
      <c r="D6" s="70" t="s">
        <v>729</v>
      </c>
      <c r="E6" s="71">
        <v>1.0</v>
      </c>
      <c r="F6" s="72">
        <v>1.6101312E7</v>
      </c>
      <c r="G6" s="73">
        <f>E6*F6</f>
        <v>1.6101312E7</v>
      </c>
    </row>
    <row r="7" spans="8:8">
      <c r="B7" s="66">
        <v>2.0</v>
      </c>
      <c r="C7" s="66" t="s">
        <v>728</v>
      </c>
      <c r="D7" s="70" t="s">
        <v>730</v>
      </c>
      <c r="E7" s="71">
        <v>1.0</v>
      </c>
      <c r="F7" s="72">
        <v>6008292.0</v>
      </c>
      <c r="G7" s="73">
        <f t="shared" si="0" ref="G7:G11">E7*F7</f>
        <v>6008292.0</v>
      </c>
    </row>
    <row r="8" spans="8:8">
      <c r="B8" s="66"/>
      <c r="C8" s="66"/>
      <c r="D8" s="70"/>
      <c r="E8" s="71"/>
      <c r="F8" s="72"/>
      <c r="G8" s="73">
        <f t="shared" si="0"/>
        <v>0.0</v>
      </c>
    </row>
    <row r="9" spans="8:8">
      <c r="B9" s="66"/>
      <c r="C9" s="66"/>
      <c r="D9" s="70"/>
      <c r="E9" s="71"/>
      <c r="F9" s="72"/>
      <c r="G9" s="73">
        <f t="shared" si="0"/>
        <v>0.0</v>
      </c>
    </row>
    <row r="10" spans="8:8">
      <c r="B10" s="66"/>
      <c r="C10" s="66"/>
      <c r="D10" s="70"/>
      <c r="E10" s="71"/>
      <c r="F10" s="72"/>
      <c r="G10" s="73">
        <f t="shared" si="0"/>
        <v>0.0</v>
      </c>
    </row>
    <row r="11" spans="8:8">
      <c r="B11" s="66"/>
      <c r="C11" s="66"/>
      <c r="D11" s="70"/>
      <c r="E11" s="71"/>
      <c r="F11" s="72"/>
      <c r="G11" s="73">
        <f t="shared" si="0"/>
        <v>0.0</v>
      </c>
    </row>
    <row r="12" spans="8:8">
      <c r="B12" s="74" t="s">
        <v>1</v>
      </c>
      <c r="C12" s="74"/>
      <c r="D12" s="74"/>
      <c r="E12" s="74"/>
      <c r="F12" s="74"/>
      <c r="G12" s="75">
        <f>SUM(G6:G11)</f>
        <v>2.2109604E7</v>
      </c>
    </row>
    <row r="15" spans="8:8">
      <c r="B15" s="49" t="s">
        <v>420</v>
      </c>
      <c r="C15" s="49"/>
      <c r="D15" s="49"/>
      <c r="E15" s="49"/>
      <c r="F15" s="49"/>
      <c r="G15" s="49"/>
    </row>
    <row r="17" spans="8:8" ht="18.75">
      <c r="A17">
        <v>2.2</v>
      </c>
      <c r="B17" s="30" t="s">
        <v>155</v>
      </c>
      <c r="C17" s="30"/>
      <c r="D17" s="30"/>
      <c r="E17" s="30"/>
      <c r="F17" s="30"/>
      <c r="G17" s="30"/>
      <c r="H17" s="30"/>
    </row>
    <row r="18" spans="8:8">
      <c r="B18" s="76"/>
    </row>
    <row r="19" spans="8:8">
      <c r="B19" s="77" t="s">
        <v>146</v>
      </c>
      <c r="C19" s="77" t="s">
        <v>150</v>
      </c>
      <c r="D19" s="77" t="s">
        <v>161</v>
      </c>
      <c r="E19" s="77" t="s">
        <v>151</v>
      </c>
      <c r="F19" s="77" t="s">
        <v>152</v>
      </c>
      <c r="G19" s="77" t="s">
        <v>158</v>
      </c>
      <c r="H19" s="77" t="s">
        <v>153</v>
      </c>
    </row>
    <row r="20" spans="8:8">
      <c r="B20" s="78"/>
      <c r="C20" s="79"/>
      <c r="D20" s="79"/>
      <c r="E20" s="79"/>
      <c r="F20" s="79"/>
      <c r="G20" s="80"/>
      <c r="H20" s="79"/>
    </row>
    <row r="21" spans="8:8">
      <c r="B21" s="81" t="s">
        <v>173</v>
      </c>
      <c r="C21" s="82" t="s">
        <v>369</v>
      </c>
      <c r="D21" s="82"/>
      <c r="E21" s="81"/>
      <c r="F21" s="83"/>
      <c r="G21" s="80">
        <f t="shared" si="1" ref="G21:G31">E21*F21</f>
        <v>0.0</v>
      </c>
      <c r="H21" s="84"/>
    </row>
    <row r="22" spans="8:8">
      <c r="B22" s="81"/>
      <c r="C22" s="82"/>
      <c r="D22" s="82"/>
      <c r="E22" s="81"/>
      <c r="F22" s="83"/>
      <c r="G22" s="80">
        <f t="shared" si="1"/>
        <v>0.0</v>
      </c>
      <c r="H22" s="84"/>
    </row>
    <row r="23" spans="8:8">
      <c r="B23" s="81"/>
      <c r="C23" s="82"/>
      <c r="D23" s="82"/>
      <c r="E23" s="81"/>
      <c r="F23" s="83"/>
      <c r="G23" s="80">
        <f t="shared" si="1"/>
        <v>0.0</v>
      </c>
      <c r="H23" s="84"/>
    </row>
    <row r="24" spans="8:8">
      <c r="B24" s="81"/>
      <c r="C24" s="82"/>
      <c r="D24" s="82"/>
      <c r="E24" s="81"/>
      <c r="F24" s="83"/>
      <c r="G24" s="80">
        <f t="shared" si="1"/>
        <v>0.0</v>
      </c>
      <c r="H24" s="84"/>
    </row>
    <row r="25" spans="8:8">
      <c r="B25" s="81"/>
      <c r="C25" s="82"/>
      <c r="D25" s="82"/>
      <c r="E25" s="81"/>
      <c r="F25" s="83"/>
      <c r="G25" s="80">
        <f t="shared" si="1"/>
        <v>0.0</v>
      </c>
      <c r="H25" s="84"/>
    </row>
    <row r="26" spans="8:8">
      <c r="B26" s="81"/>
      <c r="C26" s="82"/>
      <c r="D26" s="82"/>
      <c r="E26" s="81"/>
      <c r="F26" s="83"/>
      <c r="G26" s="80">
        <f t="shared" si="1"/>
        <v>0.0</v>
      </c>
      <c r="H26" s="84"/>
    </row>
    <row r="27" spans="8:8">
      <c r="B27" s="81"/>
      <c r="C27" s="82"/>
      <c r="D27" s="82"/>
      <c r="E27" s="81"/>
      <c r="F27" s="83"/>
      <c r="G27" s="80">
        <f t="shared" si="1"/>
        <v>0.0</v>
      </c>
      <c r="H27" s="84"/>
    </row>
    <row r="28" spans="8:8">
      <c r="B28" s="81"/>
      <c r="C28" s="82"/>
      <c r="D28" s="82"/>
      <c r="E28" s="81"/>
      <c r="F28" s="83"/>
      <c r="G28" s="80">
        <f t="shared" si="1"/>
        <v>0.0</v>
      </c>
      <c r="H28" s="84"/>
    </row>
    <row r="29" spans="8:8">
      <c r="B29" s="81"/>
      <c r="C29" s="82"/>
      <c r="D29" s="81"/>
      <c r="E29" s="81"/>
      <c r="F29" s="83"/>
      <c r="G29" s="80">
        <f t="shared" si="1"/>
        <v>0.0</v>
      </c>
      <c r="H29" s="84"/>
    </row>
    <row r="30" spans="8:8">
      <c r="B30" s="81"/>
      <c r="C30" s="82"/>
      <c r="D30" s="81"/>
      <c r="E30" s="81"/>
      <c r="F30" s="83"/>
      <c r="G30" s="80">
        <f t="shared" si="1"/>
        <v>0.0</v>
      </c>
      <c r="H30" s="84"/>
    </row>
    <row r="31" spans="8:8">
      <c r="B31" s="81"/>
      <c r="C31" s="82"/>
      <c r="D31" s="81"/>
      <c r="E31" s="81"/>
      <c r="F31" s="83"/>
      <c r="G31" s="80">
        <f t="shared" si="1"/>
        <v>0.0</v>
      </c>
      <c r="H31" s="84"/>
    </row>
    <row r="32" spans="8:8">
      <c r="B32" s="85" t="s">
        <v>171</v>
      </c>
      <c r="C32" s="85"/>
      <c r="D32" s="81"/>
      <c r="E32" s="81"/>
      <c r="F32" s="86"/>
      <c r="G32" s="80">
        <f>SUM(G21:G31)</f>
        <v>0.0</v>
      </c>
      <c r="H32" s="80">
        <f>SUM(H21:H31)</f>
        <v>0.0</v>
      </c>
    </row>
    <row r="33" spans="8:8">
      <c r="B33" s="81" t="s">
        <v>174</v>
      </c>
      <c r="C33" s="82" t="s">
        <v>295</v>
      </c>
      <c r="D33" s="78"/>
      <c r="E33" s="78"/>
      <c r="F33" s="80"/>
      <c r="G33" s="80"/>
      <c r="H33" s="79"/>
    </row>
    <row r="34" spans="8:8">
      <c r="B34" s="78"/>
      <c r="C34" s="87"/>
      <c r="D34" s="87"/>
      <c r="E34" s="78"/>
      <c r="F34" s="80"/>
      <c r="G34" s="80">
        <f t="shared" si="2" ref="G34:G39">E34*F34</f>
        <v>0.0</v>
      </c>
      <c r="H34" s="79"/>
    </row>
    <row r="35" spans="8:8">
      <c r="B35" s="78"/>
      <c r="C35" s="87"/>
      <c r="D35" s="78"/>
      <c r="E35" s="78"/>
      <c r="F35" s="80"/>
      <c r="G35" s="80">
        <f t="shared" si="2"/>
        <v>0.0</v>
      </c>
      <c r="H35" s="79"/>
    </row>
    <row r="36" spans="8:8">
      <c r="B36" s="78"/>
      <c r="C36" s="87"/>
      <c r="D36" s="78"/>
      <c r="E36" s="78"/>
      <c r="F36" s="80"/>
      <c r="G36" s="80">
        <f t="shared" si="2"/>
        <v>0.0</v>
      </c>
      <c r="H36" s="79"/>
    </row>
    <row r="37" spans="8:8">
      <c r="B37" s="78"/>
      <c r="C37" s="87"/>
      <c r="D37" s="78"/>
      <c r="E37" s="78"/>
      <c r="F37" s="80"/>
      <c r="G37" s="80">
        <f t="shared" si="2"/>
        <v>0.0</v>
      </c>
      <c r="H37" s="79"/>
    </row>
    <row r="38" spans="8:8">
      <c r="B38" s="78"/>
      <c r="C38" s="87"/>
      <c r="D38" s="78"/>
      <c r="E38" s="78"/>
      <c r="F38" s="80"/>
      <c r="G38" s="80">
        <f t="shared" si="2"/>
        <v>0.0</v>
      </c>
      <c r="H38" s="79"/>
    </row>
    <row r="39" spans="8:8">
      <c r="B39" s="78"/>
      <c r="C39" s="87"/>
      <c r="D39" s="78"/>
      <c r="E39" s="78"/>
      <c r="F39" s="80"/>
      <c r="G39" s="80">
        <f t="shared" si="2"/>
        <v>0.0</v>
      </c>
      <c r="H39" s="79"/>
    </row>
    <row r="40" spans="8:8">
      <c r="B40" s="78"/>
      <c r="C40" s="87"/>
      <c r="D40" s="78"/>
      <c r="E40" s="78"/>
      <c r="F40" s="80"/>
      <c r="G40" s="80">
        <f t="shared" si="3" ref="G40:G46">F40</f>
        <v>0.0</v>
      </c>
      <c r="H40" s="79"/>
    </row>
    <row r="41" spans="8:8">
      <c r="B41" s="78"/>
      <c r="C41" s="87"/>
      <c r="D41" s="78"/>
      <c r="E41" s="78"/>
      <c r="F41" s="80"/>
      <c r="G41" s="80">
        <f t="shared" si="3"/>
        <v>0.0</v>
      </c>
      <c r="H41" s="79"/>
    </row>
    <row r="42" spans="8:8">
      <c r="B42" s="78"/>
      <c r="C42" s="87"/>
      <c r="D42" s="78"/>
      <c r="E42" s="78"/>
      <c r="F42" s="80"/>
      <c r="G42" s="80">
        <f t="shared" si="3"/>
        <v>0.0</v>
      </c>
      <c r="H42" s="79"/>
    </row>
    <row r="43" spans="8:8">
      <c r="B43" s="78"/>
      <c r="C43" s="87"/>
      <c r="D43" s="78"/>
      <c r="E43" s="78"/>
      <c r="F43" s="80"/>
      <c r="G43" s="80">
        <f t="shared" si="3"/>
        <v>0.0</v>
      </c>
      <c r="H43" s="79"/>
    </row>
    <row r="44" spans="8:8">
      <c r="B44" s="78"/>
      <c r="C44" s="87"/>
      <c r="D44" s="78"/>
      <c r="E44" s="78"/>
      <c r="F44" s="80"/>
      <c r="G44" s="80">
        <f t="shared" si="3"/>
        <v>0.0</v>
      </c>
      <c r="H44" s="79"/>
    </row>
    <row r="45" spans="8:8">
      <c r="B45" s="78"/>
      <c r="C45" s="87"/>
      <c r="D45" s="78"/>
      <c r="E45" s="78"/>
      <c r="F45" s="80"/>
      <c r="G45" s="80">
        <f t="shared" si="3"/>
        <v>0.0</v>
      </c>
      <c r="H45" s="79"/>
    </row>
    <row r="46" spans="8:8">
      <c r="B46" s="78"/>
      <c r="C46" s="87"/>
      <c r="D46" s="78"/>
      <c r="E46" s="78"/>
      <c r="F46" s="80"/>
      <c r="G46" s="80">
        <f t="shared" si="3"/>
        <v>0.0</v>
      </c>
      <c r="H46" s="79"/>
    </row>
    <row r="47" spans="8:8">
      <c r="B47" s="85" t="s">
        <v>171</v>
      </c>
      <c r="C47" s="85"/>
      <c r="D47" s="81"/>
      <c r="E47" s="81"/>
      <c r="F47" s="86"/>
      <c r="G47" s="86">
        <f>SUM(G34:G46)</f>
        <v>0.0</v>
      </c>
      <c r="H47" s="86">
        <f>SUM(H34:H46)</f>
        <v>0.0</v>
      </c>
    </row>
    <row r="48" spans="8:8">
      <c r="B48" s="78"/>
      <c r="C48" s="87"/>
      <c r="D48" s="78"/>
      <c r="E48" s="78"/>
      <c r="F48" s="80"/>
      <c r="G48" s="80"/>
      <c r="H48" s="79"/>
    </row>
    <row r="49" spans="8:8">
      <c r="B49" s="81" t="s">
        <v>175</v>
      </c>
      <c r="C49" s="82" t="s">
        <v>370</v>
      </c>
      <c r="D49" s="78"/>
      <c r="E49" s="78"/>
      <c r="F49" s="80"/>
      <c r="G49" s="80">
        <f t="shared" si="4" ref="G49:G54">E49*F49</f>
        <v>0.0</v>
      </c>
      <c r="H49" s="79"/>
    </row>
    <row r="50" spans="8:8">
      <c r="B50" s="81">
        <v>1.0</v>
      </c>
      <c r="C50" s="82" t="s">
        <v>731</v>
      </c>
      <c r="D50" s="78" t="s">
        <v>709</v>
      </c>
      <c r="E50" s="78">
        <v>1.0</v>
      </c>
      <c r="F50" s="80">
        <v>3758962.0</v>
      </c>
      <c r="G50" s="80">
        <f t="shared" si="4"/>
        <v>3758962.0</v>
      </c>
      <c r="H50" s="79">
        <v>50.0</v>
      </c>
    </row>
    <row r="51" spans="8:8" ht="28.5">
      <c r="B51" s="81">
        <v>2.0</v>
      </c>
      <c r="C51" s="82" t="s">
        <v>721</v>
      </c>
      <c r="D51" s="87" t="s">
        <v>710</v>
      </c>
      <c r="E51" s="78">
        <v>1.0</v>
      </c>
      <c r="F51" s="80">
        <v>327494.0</v>
      </c>
      <c r="G51" s="80">
        <f t="shared" si="4"/>
        <v>327494.0</v>
      </c>
      <c r="H51" s="79"/>
    </row>
    <row r="52" spans="8:8">
      <c r="B52" s="81"/>
      <c r="C52" s="82"/>
      <c r="D52" s="87"/>
      <c r="E52" s="78"/>
      <c r="F52" s="80"/>
      <c r="G52" s="80"/>
      <c r="H52" s="79"/>
    </row>
    <row r="53" spans="8:8">
      <c r="B53" s="81">
        <v>3.0</v>
      </c>
      <c r="C53" s="82" t="s">
        <v>711</v>
      </c>
      <c r="D53" s="87" t="s">
        <v>712</v>
      </c>
      <c r="E53" s="78">
        <v>1.0</v>
      </c>
      <c r="F53" s="80">
        <v>260364.0</v>
      </c>
      <c r="G53" s="80">
        <f t="shared" si="4"/>
        <v>260364.0</v>
      </c>
      <c r="H53" s="79"/>
    </row>
    <row r="54" spans="8:8">
      <c r="B54" s="88">
        <v>4.0</v>
      </c>
      <c r="C54" s="82" t="s">
        <v>713</v>
      </c>
      <c r="D54" s="87" t="s">
        <v>714</v>
      </c>
      <c r="E54" s="78">
        <v>1.0</v>
      </c>
      <c r="F54" s="80">
        <v>771425.0</v>
      </c>
      <c r="G54" s="80">
        <f t="shared" si="4"/>
        <v>771425.0</v>
      </c>
      <c r="H54" s="79"/>
    </row>
    <row r="55" spans="8:8">
      <c r="B55" s="85" t="s">
        <v>171</v>
      </c>
      <c r="C55" s="85"/>
      <c r="D55" s="87"/>
      <c r="E55" s="78"/>
      <c r="F55" s="80"/>
      <c r="G55" s="80">
        <f>SUM(G49:G54)</f>
        <v>5118245.0</v>
      </c>
      <c r="H55" s="80">
        <f>SUM(H49:H54)</f>
        <v>50.0</v>
      </c>
    </row>
    <row r="56" spans="8:8">
      <c r="B56" s="81"/>
      <c r="C56" s="81"/>
      <c r="D56" s="87"/>
      <c r="E56" s="78"/>
      <c r="F56" s="80"/>
      <c r="G56" s="80"/>
      <c r="H56" s="80"/>
    </row>
    <row r="57" spans="8:8">
      <c r="B57" s="81" t="s">
        <v>176</v>
      </c>
      <c r="C57" s="81" t="s">
        <v>552</v>
      </c>
      <c r="D57" s="87"/>
      <c r="E57" s="78"/>
      <c r="F57" s="80"/>
      <c r="G57" s="80">
        <f>E57*F57</f>
        <v>0.0</v>
      </c>
      <c r="H57" s="80"/>
    </row>
    <row r="58" spans="8:8">
      <c r="B58" s="81"/>
      <c r="C58" s="81"/>
      <c r="D58" s="87"/>
      <c r="E58" s="78"/>
      <c r="F58" s="80"/>
      <c r="G58" s="80">
        <f t="shared" si="5" ref="G58:G60">E58*F58</f>
        <v>0.0</v>
      </c>
      <c r="H58" s="80"/>
    </row>
    <row r="59" spans="8:8">
      <c r="B59" s="81"/>
      <c r="C59" s="81"/>
      <c r="D59" s="87"/>
      <c r="E59" s="78"/>
      <c r="F59" s="80"/>
      <c r="G59" s="80">
        <f t="shared" si="5"/>
        <v>0.0</v>
      </c>
      <c r="H59" s="80"/>
    </row>
    <row r="60" spans="8:8">
      <c r="B60" s="81"/>
      <c r="C60" s="82"/>
      <c r="D60" s="87"/>
      <c r="E60" s="78"/>
      <c r="F60" s="80"/>
      <c r="G60" s="80">
        <f t="shared" si="5"/>
        <v>0.0</v>
      </c>
      <c r="H60" s="79"/>
    </row>
    <row r="61" spans="8:8">
      <c r="B61" s="85" t="s">
        <v>171</v>
      </c>
      <c r="C61" s="85"/>
      <c r="D61" s="87"/>
      <c r="E61" s="78"/>
      <c r="F61" s="80"/>
      <c r="G61" s="80">
        <f>SUM(G57:G60)</f>
        <v>0.0</v>
      </c>
      <c r="H61" s="80">
        <f>SUM(H57:H60)</f>
        <v>0.0</v>
      </c>
    </row>
    <row r="62" spans="8:8">
      <c r="B62" s="78"/>
      <c r="C62" s="87"/>
      <c r="D62" s="87"/>
      <c r="E62" s="78"/>
      <c r="F62" s="80"/>
      <c r="G62" s="80"/>
      <c r="H62" s="79"/>
    </row>
    <row r="63" spans="8:8">
      <c r="B63" s="89" t="s">
        <v>1</v>
      </c>
      <c r="C63" s="89"/>
      <c r="D63" s="89"/>
      <c r="E63" s="89"/>
      <c r="F63" s="89"/>
      <c r="G63" s="90">
        <f>G55+G47+G32+G61</f>
        <v>5118245.0</v>
      </c>
      <c r="H63" s="90">
        <f>H47+H21+H55+H61</f>
        <v>50.0</v>
      </c>
    </row>
    <row r="64" spans="8:8">
      <c r="B64" s="76"/>
      <c r="G64" s="91"/>
    </row>
    <row r="65" spans="8:8">
      <c r="B65" s="49" t="s">
        <v>421</v>
      </c>
      <c r="C65" s="49"/>
      <c r="D65" s="49"/>
      <c r="E65" s="49"/>
      <c r="F65" s="49"/>
      <c r="G65" s="49"/>
      <c r="H65" s="49"/>
    </row>
    <row r="66" spans="8:8">
      <c r="B66" s="76"/>
      <c r="G66" s="91"/>
      <c r="I66" s="76"/>
      <c r="J66" s="76"/>
      <c r="K66" s="92"/>
    </row>
    <row r="69" spans="8:8" ht="18.75">
      <c r="A69">
        <v>2.3</v>
      </c>
      <c r="B69" s="30" t="s">
        <v>381</v>
      </c>
      <c r="C69" s="30"/>
      <c r="D69" s="30"/>
      <c r="E69" s="30"/>
      <c r="F69" s="30"/>
    </row>
    <row r="71" spans="8:8">
      <c r="B71" s="93" t="s">
        <v>146</v>
      </c>
      <c r="C71" s="94" t="s">
        <v>128</v>
      </c>
      <c r="D71" s="94" t="s">
        <v>151</v>
      </c>
      <c r="E71" s="94" t="s">
        <v>152</v>
      </c>
      <c r="F71" s="94" t="s">
        <v>158</v>
      </c>
    </row>
    <row r="72" spans="8:8">
      <c r="B72" s="95">
        <v>1.0</v>
      </c>
      <c r="C72" s="96"/>
      <c r="D72" s="95"/>
      <c r="E72" s="97"/>
      <c r="F72" s="98">
        <f t="shared" si="6" ref="F72:F77">D72*E72</f>
        <v>0.0</v>
      </c>
    </row>
    <row r="73" spans="8:8">
      <c r="B73" s="95"/>
      <c r="C73" s="96"/>
      <c r="D73" s="95"/>
      <c r="E73" s="97"/>
      <c r="F73" s="98">
        <f t="shared" si="6"/>
        <v>0.0</v>
      </c>
    </row>
    <row r="74" spans="8:8">
      <c r="B74" s="95"/>
      <c r="C74" s="96"/>
      <c r="D74" s="95"/>
      <c r="E74" s="97"/>
      <c r="F74" s="98">
        <f t="shared" si="6"/>
        <v>0.0</v>
      </c>
    </row>
    <row r="75" spans="8:8">
      <c r="B75" s="95"/>
      <c r="C75" s="96"/>
      <c r="D75" s="95"/>
      <c r="E75" s="97"/>
      <c r="F75" s="98">
        <f t="shared" si="6"/>
        <v>0.0</v>
      </c>
    </row>
    <row r="76" spans="8:8">
      <c r="B76" s="95"/>
      <c r="C76" s="96"/>
      <c r="D76" s="95"/>
      <c r="E76" s="97"/>
      <c r="F76" s="98">
        <f t="shared" si="6"/>
        <v>0.0</v>
      </c>
    </row>
    <row r="77" spans="8:8">
      <c r="B77" s="95"/>
      <c r="C77" s="96"/>
      <c r="D77" s="95"/>
      <c r="E77" s="97"/>
      <c r="F77" s="98">
        <f t="shared" si="6"/>
        <v>0.0</v>
      </c>
    </row>
    <row r="78" spans="8:8">
      <c r="B78" s="99" t="s">
        <v>1</v>
      </c>
      <c r="C78" s="99"/>
      <c r="D78" s="99"/>
      <c r="E78" s="99"/>
      <c r="F78" s="100">
        <f>SUM(F72:F77)</f>
        <v>0.0</v>
      </c>
    </row>
    <row r="80" spans="8:8">
      <c r="A80" s="49" t="s">
        <v>422</v>
      </c>
      <c r="B80" s="49"/>
      <c r="C80" s="49"/>
      <c r="D80" s="49"/>
      <c r="E80" s="49"/>
      <c r="F80" s="49"/>
      <c r="G80" s="49"/>
    </row>
    <row r="83" spans="8:8" ht="18.75">
      <c r="A83">
        <v>2.4</v>
      </c>
      <c r="B83" s="30" t="s">
        <v>380</v>
      </c>
      <c r="C83" s="30"/>
      <c r="D83" s="30"/>
      <c r="E83" s="30"/>
      <c r="F83" s="30"/>
    </row>
    <row r="85" spans="8:8">
      <c r="B85" s="93" t="s">
        <v>146</v>
      </c>
      <c r="C85" s="101" t="s">
        <v>128</v>
      </c>
      <c r="D85" s="101" t="s">
        <v>151</v>
      </c>
      <c r="E85" s="101" t="s">
        <v>152</v>
      </c>
      <c r="F85" s="101" t="s">
        <v>158</v>
      </c>
    </row>
    <row r="86" spans="8:8">
      <c r="B86" s="95">
        <v>1.0</v>
      </c>
      <c r="C86" s="96" t="s">
        <v>715</v>
      </c>
      <c r="D86" s="95">
        <v>1.0</v>
      </c>
      <c r="E86" s="97">
        <v>0.0</v>
      </c>
      <c r="F86" s="98">
        <f t="shared" si="7" ref="F86:F91">D86*E86</f>
        <v>0.0</v>
      </c>
    </row>
    <row r="87" spans="8:8">
      <c r="B87" s="95">
        <v>2.0</v>
      </c>
      <c r="C87" s="96" t="s">
        <v>716</v>
      </c>
      <c r="D87" s="95">
        <v>1.0</v>
      </c>
      <c r="E87" s="97">
        <v>0.0</v>
      </c>
      <c r="F87" s="98">
        <f t="shared" si="7"/>
        <v>0.0</v>
      </c>
    </row>
    <row r="88" spans="8:8">
      <c r="B88" s="95">
        <v>3.0</v>
      </c>
      <c r="C88" s="96" t="s">
        <v>717</v>
      </c>
      <c r="D88" s="95">
        <v>1.0</v>
      </c>
      <c r="E88" s="97">
        <v>0.0</v>
      </c>
      <c r="F88" s="98">
        <f t="shared" si="7"/>
        <v>0.0</v>
      </c>
    </row>
    <row r="89" spans="8:8">
      <c r="B89" s="95">
        <v>4.0</v>
      </c>
      <c r="C89" s="96" t="s">
        <v>718</v>
      </c>
      <c r="D89" s="95">
        <v>1.0</v>
      </c>
      <c r="E89" s="97">
        <v>0.0</v>
      </c>
      <c r="F89" s="98">
        <f t="shared" si="7"/>
        <v>0.0</v>
      </c>
    </row>
    <row r="90" spans="8:8">
      <c r="B90" s="95">
        <v>5.0</v>
      </c>
      <c r="C90" s="96" t="s">
        <v>719</v>
      </c>
      <c r="D90" s="95">
        <v>1.0</v>
      </c>
      <c r="E90" s="97">
        <v>0.0</v>
      </c>
      <c r="F90" s="98">
        <f t="shared" si="7"/>
        <v>0.0</v>
      </c>
    </row>
    <row r="91" spans="8:8">
      <c r="B91" s="95"/>
      <c r="C91" s="96"/>
      <c r="D91" s="95"/>
      <c r="E91" s="97"/>
      <c r="F91" s="98">
        <f t="shared" si="7"/>
        <v>0.0</v>
      </c>
    </row>
    <row r="92" spans="8:8">
      <c r="B92" s="99" t="s">
        <v>1</v>
      </c>
      <c r="C92" s="99"/>
      <c r="D92" s="99"/>
      <c r="E92" s="99"/>
      <c r="F92" s="100">
        <f>SUM(F86:F91)</f>
        <v>0.0</v>
      </c>
    </row>
    <row r="94" spans="8:8">
      <c r="A94" s="49" t="s">
        <v>422</v>
      </c>
      <c r="B94" s="49"/>
      <c r="C94" s="49"/>
      <c r="D94" s="49"/>
      <c r="E94" s="49"/>
      <c r="F94" s="49"/>
      <c r="G94" s="49"/>
    </row>
    <row r="97" spans="8:8" ht="18.75">
      <c r="A97">
        <v>2.5</v>
      </c>
      <c r="B97" s="30" t="s">
        <v>659</v>
      </c>
      <c r="C97" s="30"/>
      <c r="D97" s="30"/>
      <c r="E97" s="30"/>
      <c r="F97" s="30"/>
    </row>
    <row r="99" spans="8:8">
      <c r="B99" s="102" t="s">
        <v>146</v>
      </c>
      <c r="C99" s="65" t="s">
        <v>128</v>
      </c>
      <c r="D99" s="65" t="s">
        <v>151</v>
      </c>
      <c r="E99" s="65" t="s">
        <v>152</v>
      </c>
      <c r="F99" s="65" t="s">
        <v>158</v>
      </c>
    </row>
    <row r="100" spans="8:8">
      <c r="B100" s="78">
        <v>1.0</v>
      </c>
      <c r="C100" s="87"/>
      <c r="D100" s="78"/>
      <c r="E100" s="103"/>
      <c r="F100" s="80">
        <f>E100*D100</f>
        <v>0.0</v>
      </c>
    </row>
    <row r="101" spans="8:8">
      <c r="B101" s="78"/>
      <c r="C101" s="87"/>
      <c r="D101" s="78"/>
      <c r="E101" s="103"/>
      <c r="F101" s="80">
        <f>E101*D101</f>
        <v>0.0</v>
      </c>
    </row>
    <row r="102" spans="8:8">
      <c r="B102" s="78"/>
      <c r="C102" s="87"/>
      <c r="D102" s="78"/>
      <c r="E102" s="103"/>
      <c r="F102" s="80">
        <f>E102*D102</f>
        <v>0.0</v>
      </c>
    </row>
    <row r="103" spans="8:8">
      <c r="B103" s="89" t="s">
        <v>1</v>
      </c>
      <c r="C103" s="89"/>
      <c r="D103" s="89"/>
      <c r="E103" s="89"/>
      <c r="F103" s="104">
        <f>SUM(F100:F102)</f>
        <v>0.0</v>
      </c>
    </row>
    <row r="104" spans="8:8">
      <c r="A104" s="105" t="s">
        <v>459</v>
      </c>
      <c r="B104" s="105"/>
      <c r="C104" s="105"/>
      <c r="D104" s="105"/>
      <c r="E104" s="105"/>
      <c r="F104" s="105"/>
      <c r="G104" s="105"/>
    </row>
    <row r="107" spans="8:8" ht="18.75">
      <c r="A107">
        <v>2.6</v>
      </c>
      <c r="B107" s="30" t="s">
        <v>256</v>
      </c>
      <c r="C107" s="30"/>
      <c r="D107" s="30"/>
    </row>
    <row r="108" spans="8:8" ht="15.75"/>
    <row r="109" spans="8:8" ht="15.75">
      <c r="B109" s="106" t="s">
        <v>146</v>
      </c>
      <c r="C109" s="107" t="s">
        <v>128</v>
      </c>
      <c r="D109" s="107" t="s">
        <v>379</v>
      </c>
    </row>
    <row r="110" spans="8:8" ht="15.75">
      <c r="B110" s="108">
        <v>1.0</v>
      </c>
      <c r="C110" s="109" t="s">
        <v>720</v>
      </c>
      <c r="D110" s="110">
        <v>1361392.0</v>
      </c>
    </row>
    <row r="111" spans="8:8" ht="15.75">
      <c r="B111" s="108">
        <v>2.0</v>
      </c>
      <c r="C111" s="109"/>
      <c r="D111" s="110"/>
    </row>
    <row r="112" spans="8:8" ht="15.75">
      <c r="B112" s="108">
        <v>3.0</v>
      </c>
      <c r="C112" s="109"/>
      <c r="D112" s="110"/>
    </row>
    <row r="113" spans="8:8" ht="15.75">
      <c r="B113" s="108"/>
      <c r="C113" s="109"/>
      <c r="D113" s="110"/>
    </row>
    <row r="114" spans="8:8" ht="15.75">
      <c r="B114" s="108"/>
      <c r="C114" s="109"/>
      <c r="D114" s="110"/>
    </row>
    <row r="115" spans="8:8" ht="15.75">
      <c r="B115" s="111" t="s">
        <v>1</v>
      </c>
      <c r="C115" s="112"/>
      <c r="D115" s="113">
        <f>SUM(D110:D114)</f>
        <v>1361392.0</v>
      </c>
    </row>
    <row r="117" spans="8:8" ht="26.1" customHeight="1">
      <c r="A117" s="114" t="s">
        <v>460</v>
      </c>
      <c r="B117" s="114"/>
      <c r="C117" s="114"/>
      <c r="D117" s="114"/>
      <c r="E117" s="114"/>
    </row>
  </sheetData>
  <mergeCells count="22">
    <mergeCell ref="B17:H17"/>
    <mergeCell ref="B103:E103"/>
    <mergeCell ref="A80:G80"/>
    <mergeCell ref="B2:G2"/>
    <mergeCell ref="B63:F63"/>
    <mergeCell ref="B32:C32"/>
    <mergeCell ref="B47:C47"/>
    <mergeCell ref="B55:C55"/>
    <mergeCell ref="B115:C115"/>
    <mergeCell ref="A117:E117"/>
    <mergeCell ref="A104:G104"/>
    <mergeCell ref="B15:G15"/>
    <mergeCell ref="B65:H65"/>
    <mergeCell ref="B97:F97"/>
    <mergeCell ref="B61:C61"/>
    <mergeCell ref="B107:D107"/>
    <mergeCell ref="A94:G94"/>
    <mergeCell ref="B12:F12"/>
    <mergeCell ref="B83:F83"/>
    <mergeCell ref="B92:E92"/>
    <mergeCell ref="B69:F69"/>
    <mergeCell ref="B78:E78"/>
  </mergeCells>
  <pageMargins left="0.7" right="0.7" top="0.75" bottom="0.75" header="0.3" footer="0.3"/>
  <pageSetup paperSize="9" scale="67"/>
</worksheet>
</file>

<file path=xl/worksheets/sheet4.xml><?xml version="1.0" encoding="utf-8"?>
<worksheet xmlns:r="http://schemas.openxmlformats.org/officeDocument/2006/relationships" xmlns="http://schemas.openxmlformats.org/spreadsheetml/2006/main">
  <dimension ref="A1:R104"/>
  <sheetViews>
    <sheetView workbookViewId="0" zoomScale="80">
      <selection activeCell="D17" sqref="D17"/>
    </sheetView>
  </sheetViews>
  <sheetFormatPr defaultRowHeight="15.0" defaultColWidth="10"/>
  <cols>
    <col min="1" max="1" customWidth="1" width="41.140625" style="0"/>
    <col min="2" max="2" customWidth="1" bestFit="1" width="14.5703125" style="0"/>
    <col min="3" max="3" customWidth="1" width="13.140625" style="0"/>
    <col min="4" max="4" customWidth="1" width="13.425781" style="0"/>
    <col min="5" max="5" customWidth="1" width="14.855469" style="0"/>
    <col min="6" max="8" customWidth="1" bestFit="1" width="14.855469" style="0"/>
    <col min="9" max="9" customWidth="1" width="14.855469" style="0"/>
    <col min="10" max="10" customWidth="1" bestFit="1" width="14.855469" style="0"/>
    <col min="11" max="11" customWidth="1" width="14.855469" style="0"/>
    <col min="12" max="14" customWidth="1" bestFit="1" width="12.855469" style="0"/>
    <col min="15" max="17" customWidth="1" bestFit="1" width="11.855469" style="0"/>
  </cols>
  <sheetData>
    <row r="2" spans="8:8" ht="18.75">
      <c r="A2" s="50" t="s">
        <v>573</v>
      </c>
      <c r="B2" s="50"/>
      <c r="C2" s="50"/>
      <c r="D2" s="50"/>
      <c r="E2" s="50"/>
      <c r="F2" s="50"/>
      <c r="G2" s="50"/>
      <c r="H2" s="50"/>
      <c r="I2" s="50"/>
      <c r="J2" s="50"/>
      <c r="K2" s="50"/>
    </row>
    <row r="4" spans="8:8">
      <c r="A4" s="115"/>
      <c r="B4" s="115"/>
      <c r="C4" s="115"/>
      <c r="D4" s="115"/>
      <c r="E4" s="116">
        <v>1.0</v>
      </c>
      <c r="F4" s="117">
        <f>(E4*5%)+E4</f>
        <v>1.05</v>
      </c>
      <c r="G4" s="117">
        <f t="shared" si="0" ref="G4:K4">(F4*5%)+F4</f>
        <v>1.1025</v>
      </c>
      <c r="H4" s="117">
        <f t="shared" si="0"/>
        <v>1.1576250000000001</v>
      </c>
      <c r="I4" s="117">
        <f t="shared" si="0"/>
        <v>1.21550625</v>
      </c>
      <c r="J4" s="117">
        <f t="shared" si="0"/>
        <v>1.2762815625</v>
      </c>
      <c r="K4" s="117">
        <f t="shared" si="0"/>
        <v>1.340095640625</v>
      </c>
    </row>
    <row r="5" spans="8:8">
      <c r="A5" s="115"/>
      <c r="B5" s="115"/>
      <c r="C5" s="115"/>
      <c r="D5" s="115"/>
      <c r="E5" s="115"/>
      <c r="F5" s="115"/>
      <c r="G5" s="115"/>
      <c r="H5" s="115"/>
      <c r="I5" s="115"/>
      <c r="J5" s="115"/>
      <c r="K5" s="115"/>
    </row>
    <row r="6" spans="8:8">
      <c r="A6" s="118" t="s">
        <v>0</v>
      </c>
      <c r="B6" s="118" t="s">
        <v>133</v>
      </c>
      <c r="C6" s="118" t="s">
        <v>397</v>
      </c>
      <c r="D6" s="118" t="s">
        <v>290</v>
      </c>
      <c r="E6" s="119" t="s">
        <v>2</v>
      </c>
      <c r="F6" s="119" t="s">
        <v>3</v>
      </c>
      <c r="G6" s="119" t="s">
        <v>4</v>
      </c>
      <c r="H6" s="119" t="s">
        <v>5</v>
      </c>
      <c r="I6" s="119" t="s">
        <v>6</v>
      </c>
      <c r="J6" s="119" t="s">
        <v>169</v>
      </c>
      <c r="K6" s="119" t="s">
        <v>168</v>
      </c>
    </row>
    <row r="7" spans="8:8">
      <c r="A7" s="120"/>
      <c r="B7" s="120"/>
      <c r="C7" s="120"/>
      <c r="D7" s="120"/>
      <c r="E7" s="120"/>
      <c r="F7" s="120"/>
      <c r="G7" s="120"/>
      <c r="H7" s="120"/>
      <c r="I7" s="120"/>
      <c r="J7" s="120"/>
      <c r="K7" s="120"/>
    </row>
    <row r="8" spans="8:8">
      <c r="A8" s="120" t="s">
        <v>333</v>
      </c>
      <c r="B8" s="120" t="s">
        <v>398</v>
      </c>
      <c r="C8" s="79">
        <v>1.0</v>
      </c>
      <c r="D8" s="121">
        <v>25000.0</v>
      </c>
      <c r="E8" s="122">
        <f>$C8*$D8*12*E$4</f>
        <v>300000.0</v>
      </c>
      <c r="F8" s="122">
        <f t="shared" si="1" ref="F8:K8">$C8*$D8*12*F$4</f>
        <v>315000.0</v>
      </c>
      <c r="G8" s="122">
        <f t="shared" si="1"/>
        <v>330750.0</v>
      </c>
      <c r="H8" s="122">
        <f t="shared" si="1"/>
        <v>347287.50000000006</v>
      </c>
      <c r="I8" s="122">
        <f t="shared" si="1"/>
        <v>364651.875</v>
      </c>
      <c r="J8" s="122">
        <f t="shared" si="1"/>
        <v>382884.46875</v>
      </c>
      <c r="K8" s="122">
        <f t="shared" si="1"/>
        <v>402028.6921875</v>
      </c>
    </row>
    <row r="9" spans="8:8">
      <c r="A9" s="120" t="s">
        <v>189</v>
      </c>
      <c r="B9" s="120" t="s">
        <v>398</v>
      </c>
      <c r="C9" s="79">
        <v>1.0</v>
      </c>
      <c r="D9" s="121">
        <v>20000.0</v>
      </c>
      <c r="E9" s="122">
        <f>$C9*$D9*12*E$4</f>
        <v>240000.0</v>
      </c>
      <c r="F9" s="122">
        <f t="shared" si="2" ref="F9:K10">$C9*$D9*12*F$4</f>
        <v>252000.0</v>
      </c>
      <c r="G9" s="122">
        <f t="shared" si="2"/>
        <v>264600.0</v>
      </c>
      <c r="H9" s="122">
        <f t="shared" si="2"/>
        <v>277830.00000000006</v>
      </c>
      <c r="I9" s="122">
        <f t="shared" si="2"/>
        <v>291721.5</v>
      </c>
      <c r="J9" s="122">
        <f t="shared" si="2"/>
        <v>306307.57499999995</v>
      </c>
      <c r="K9" s="122">
        <f t="shared" si="2"/>
        <v>321622.95375</v>
      </c>
    </row>
    <row r="10" spans="8:8">
      <c r="A10" s="120" t="s">
        <v>194</v>
      </c>
      <c r="B10" s="120" t="s">
        <v>398</v>
      </c>
      <c r="C10" s="79">
        <v>1.0</v>
      </c>
      <c r="D10" s="121">
        <v>7000.0</v>
      </c>
      <c r="E10" s="122">
        <f>$C10*$D10*12*E$4</f>
        <v>84000.0</v>
      </c>
      <c r="F10" s="122">
        <f t="shared" si="2"/>
        <v>88200.0</v>
      </c>
      <c r="G10" s="122">
        <f t="shared" si="2"/>
        <v>92610.0</v>
      </c>
      <c r="H10" s="122">
        <f t="shared" si="2"/>
        <v>97240.50000000001</v>
      </c>
      <c r="I10" s="122">
        <f t="shared" si="2"/>
        <v>102102.525</v>
      </c>
      <c r="J10" s="122">
        <f t="shared" si="2"/>
        <v>107207.65125</v>
      </c>
      <c r="K10" s="122">
        <f t="shared" si="2"/>
        <v>112568.0338125</v>
      </c>
    </row>
    <row r="11" spans="8:8">
      <c r="A11" s="120" t="s">
        <v>131</v>
      </c>
      <c r="B11" s="120" t="s">
        <v>399</v>
      </c>
      <c r="C11" s="120">
        <v>12.0</v>
      </c>
      <c r="D11" s="121">
        <v>400.0</v>
      </c>
      <c r="E11" s="122">
        <f>$C11*$D11*E$4</f>
        <v>4800.0</v>
      </c>
      <c r="F11" s="122">
        <f t="shared" si="3" ref="F11:K15">$C11*$D11*F$4</f>
        <v>5040.0</v>
      </c>
      <c r="G11" s="122">
        <f t="shared" si="3"/>
        <v>5292.0</v>
      </c>
      <c r="H11" s="122">
        <f t="shared" si="3"/>
        <v>5556.6</v>
      </c>
      <c r="I11" s="122">
        <f t="shared" si="3"/>
        <v>5834.43</v>
      </c>
      <c r="J11" s="122">
        <f t="shared" si="3"/>
        <v>6126.1515</v>
      </c>
      <c r="K11" s="122">
        <f t="shared" si="3"/>
        <v>6432.459075</v>
      </c>
    </row>
    <row r="12" spans="8:8">
      <c r="A12" s="120" t="s">
        <v>10</v>
      </c>
      <c r="B12" s="120" t="s">
        <v>399</v>
      </c>
      <c r="C12" s="120">
        <v>12.0</v>
      </c>
      <c r="D12" s="121">
        <v>2955.0</v>
      </c>
      <c r="E12" s="122">
        <f t="shared" si="4" ref="E12:E15">$C12*$D12*E$4</f>
        <v>35460.0</v>
      </c>
      <c r="F12" s="122">
        <f t="shared" si="3"/>
        <v>37233.0</v>
      </c>
      <c r="G12" s="122">
        <f t="shared" si="3"/>
        <v>39094.65</v>
      </c>
      <c r="H12" s="122">
        <f t="shared" si="3"/>
        <v>41049.38250000001</v>
      </c>
      <c r="I12" s="122">
        <f t="shared" si="3"/>
        <v>43101.851625</v>
      </c>
      <c r="J12" s="122">
        <f t="shared" si="3"/>
        <v>45256.944206249995</v>
      </c>
      <c r="K12" s="122">
        <f t="shared" si="3"/>
        <v>47519.7914165625</v>
      </c>
    </row>
    <row r="13" spans="8:8">
      <c r="A13" s="120" t="s">
        <v>190</v>
      </c>
      <c r="B13" s="120" t="s">
        <v>399</v>
      </c>
      <c r="C13" s="120">
        <v>12.0</v>
      </c>
      <c r="D13" s="121">
        <v>590.0</v>
      </c>
      <c r="E13" s="122">
        <f t="shared" si="4"/>
        <v>7080.0</v>
      </c>
      <c r="F13" s="122">
        <f t="shared" si="3"/>
        <v>7434.0</v>
      </c>
      <c r="G13" s="122">
        <f t="shared" si="3"/>
        <v>7805.7</v>
      </c>
      <c r="H13" s="122">
        <f t="shared" si="3"/>
        <v>8195.985</v>
      </c>
      <c r="I13" s="122">
        <f t="shared" si="3"/>
        <v>8605.78425</v>
      </c>
      <c r="J13" s="122">
        <f t="shared" si="3"/>
        <v>9036.073462499999</v>
      </c>
      <c r="K13" s="122">
        <f t="shared" si="3"/>
        <v>9487.877135625</v>
      </c>
    </row>
    <row r="14" spans="8:8">
      <c r="A14" s="120" t="s">
        <v>160</v>
      </c>
      <c r="B14" s="120" t="s">
        <v>399</v>
      </c>
      <c r="C14" s="120">
        <v>12.0</v>
      </c>
      <c r="D14" s="121">
        <v>5000.0</v>
      </c>
      <c r="E14" s="122">
        <f t="shared" si="4"/>
        <v>60000.0</v>
      </c>
      <c r="F14" s="122">
        <f t="shared" si="3"/>
        <v>63000.0</v>
      </c>
      <c r="G14" s="122">
        <f t="shared" si="3"/>
        <v>66150.0</v>
      </c>
      <c r="H14" s="122">
        <f t="shared" si="3"/>
        <v>69457.50000000001</v>
      </c>
      <c r="I14" s="122">
        <f t="shared" si="3"/>
        <v>72930.375</v>
      </c>
      <c r="J14" s="122">
        <f t="shared" si="3"/>
        <v>76576.89374999999</v>
      </c>
      <c r="K14" s="122">
        <f t="shared" si="3"/>
        <v>80405.7384375</v>
      </c>
    </row>
    <row r="15" spans="8:8">
      <c r="A15" s="120" t="s">
        <v>191</v>
      </c>
      <c r="B15" s="120" t="s">
        <v>399</v>
      </c>
      <c r="C15" s="120">
        <v>12.0</v>
      </c>
      <c r="D15" s="121">
        <v>3500.0</v>
      </c>
      <c r="E15" s="122">
        <f t="shared" si="4"/>
        <v>42000.0</v>
      </c>
      <c r="F15" s="122">
        <f t="shared" si="3"/>
        <v>44100.0</v>
      </c>
      <c r="G15" s="122">
        <f t="shared" si="3"/>
        <v>46305.0</v>
      </c>
      <c r="H15" s="122">
        <f t="shared" si="3"/>
        <v>48620.25000000001</v>
      </c>
      <c r="I15" s="122">
        <f t="shared" si="3"/>
        <v>51051.2625</v>
      </c>
      <c r="J15" s="122">
        <f t="shared" si="3"/>
        <v>53603.825625</v>
      </c>
      <c r="K15" s="122">
        <f t="shared" si="3"/>
        <v>56284.01690625</v>
      </c>
    </row>
    <row r="16" spans="8:8">
      <c r="A16" s="120" t="s">
        <v>192</v>
      </c>
      <c r="B16" s="120" t="s">
        <v>400</v>
      </c>
      <c r="C16" s="120">
        <v>1.0</v>
      </c>
      <c r="D16" s="121">
        <v>20000.0</v>
      </c>
      <c r="E16" s="122">
        <f>$D16*E$4*$C16</f>
        <v>20000.0</v>
      </c>
      <c r="F16" s="122">
        <f t="shared" si="5" ref="F16:K22">$D16*F$4*$C16</f>
        <v>21000.0</v>
      </c>
      <c r="G16" s="122">
        <f t="shared" si="5"/>
        <v>22050.0</v>
      </c>
      <c r="H16" s="122">
        <f t="shared" si="5"/>
        <v>23152.500000000004</v>
      </c>
      <c r="I16" s="122">
        <f t="shared" si="5"/>
        <v>24310.125</v>
      </c>
      <c r="J16" s="122">
        <f t="shared" si="5"/>
        <v>25525.63125</v>
      </c>
      <c r="K16" s="122">
        <f t="shared" si="5"/>
        <v>26801.9128125</v>
      </c>
    </row>
    <row r="17" spans="8:8">
      <c r="A17" s="120" t="s">
        <v>724</v>
      </c>
      <c r="B17" s="120"/>
      <c r="C17" s="120"/>
      <c r="D17" s="121">
        <v>1500000.0</v>
      </c>
      <c r="E17" s="122">
        <f>D17</f>
        <v>1500000.0</v>
      </c>
      <c r="F17" s="122">
        <f>E17*1.1</f>
        <v>1650000.0000000002</v>
      </c>
      <c r="G17" s="122">
        <f t="shared" si="6" ref="G17:K17">F17*1.1</f>
        <v>1815000.0000000005</v>
      </c>
      <c r="H17" s="122">
        <f t="shared" si="6"/>
        <v>1996500.0000000007</v>
      </c>
      <c r="I17" s="122">
        <f t="shared" si="6"/>
        <v>2196150.000000001</v>
      </c>
      <c r="J17" s="122">
        <f t="shared" si="6"/>
        <v>2415765.0000000014</v>
      </c>
      <c r="K17" s="122">
        <f t="shared" si="6"/>
        <v>2657341.500000002</v>
      </c>
    </row>
    <row r="18" spans="8:8">
      <c r="A18" s="120"/>
      <c r="B18" s="120"/>
      <c r="C18" s="120"/>
      <c r="D18" s="121"/>
      <c r="E18" s="122">
        <f t="shared" si="7" ref="E18:E22">$D18*E$4*$C18</f>
        <v>0.0</v>
      </c>
      <c r="F18" s="122">
        <f t="shared" si="5"/>
        <v>0.0</v>
      </c>
      <c r="G18" s="122">
        <f t="shared" si="5"/>
        <v>0.0</v>
      </c>
      <c r="H18" s="122">
        <f t="shared" si="5"/>
        <v>0.0</v>
      </c>
      <c r="I18" s="122">
        <f t="shared" si="5"/>
        <v>0.0</v>
      </c>
      <c r="J18" s="122">
        <f t="shared" si="5"/>
        <v>0.0</v>
      </c>
      <c r="K18" s="122">
        <f t="shared" si="5"/>
        <v>0.0</v>
      </c>
    </row>
    <row r="19" spans="8:8">
      <c r="A19" s="120"/>
      <c r="B19" s="120"/>
      <c r="C19" s="120"/>
      <c r="D19" s="121"/>
      <c r="E19" s="122">
        <f t="shared" si="7"/>
        <v>0.0</v>
      </c>
      <c r="F19" s="122">
        <f t="shared" si="5"/>
        <v>0.0</v>
      </c>
      <c r="G19" s="122">
        <f t="shared" si="5"/>
        <v>0.0</v>
      </c>
      <c r="H19" s="122">
        <f t="shared" si="5"/>
        <v>0.0</v>
      </c>
      <c r="I19" s="122">
        <f t="shared" si="5"/>
        <v>0.0</v>
      </c>
      <c r="J19" s="122">
        <f t="shared" si="5"/>
        <v>0.0</v>
      </c>
      <c r="K19" s="122">
        <f t="shared" si="5"/>
        <v>0.0</v>
      </c>
    </row>
    <row r="20" spans="8:8">
      <c r="A20" s="120"/>
      <c r="B20" s="120"/>
      <c r="C20" s="120"/>
      <c r="D20" s="121"/>
      <c r="E20" s="122">
        <f t="shared" si="7"/>
        <v>0.0</v>
      </c>
      <c r="F20" s="122">
        <f t="shared" si="5"/>
        <v>0.0</v>
      </c>
      <c r="G20" s="122">
        <f t="shared" si="5"/>
        <v>0.0</v>
      </c>
      <c r="H20" s="122">
        <f t="shared" si="5"/>
        <v>0.0</v>
      </c>
      <c r="I20" s="122">
        <f t="shared" si="5"/>
        <v>0.0</v>
      </c>
      <c r="J20" s="122">
        <f t="shared" si="5"/>
        <v>0.0</v>
      </c>
      <c r="K20" s="122">
        <f t="shared" si="5"/>
        <v>0.0</v>
      </c>
    </row>
    <row r="21" spans="8:8">
      <c r="A21" s="120"/>
      <c r="B21" s="120"/>
      <c r="C21" s="120"/>
      <c r="D21" s="121"/>
      <c r="E21" s="122">
        <f t="shared" si="7"/>
        <v>0.0</v>
      </c>
      <c r="F21" s="122">
        <f t="shared" si="5"/>
        <v>0.0</v>
      </c>
      <c r="G21" s="122">
        <f t="shared" si="5"/>
        <v>0.0</v>
      </c>
      <c r="H21" s="122">
        <f t="shared" si="5"/>
        <v>0.0</v>
      </c>
      <c r="I21" s="122">
        <f t="shared" si="5"/>
        <v>0.0</v>
      </c>
      <c r="J21" s="122">
        <f t="shared" si="5"/>
        <v>0.0</v>
      </c>
      <c r="K21" s="122">
        <f t="shared" si="5"/>
        <v>0.0</v>
      </c>
    </row>
    <row r="22" spans="8:8">
      <c r="A22" s="120"/>
      <c r="B22" s="120"/>
      <c r="C22" s="120"/>
      <c r="D22" s="122"/>
      <c r="E22" s="122">
        <f t="shared" si="7"/>
        <v>0.0</v>
      </c>
      <c r="F22" s="122">
        <f t="shared" si="5"/>
        <v>0.0</v>
      </c>
      <c r="G22" s="122">
        <f t="shared" si="5"/>
        <v>0.0</v>
      </c>
      <c r="H22" s="122">
        <f t="shared" si="5"/>
        <v>0.0</v>
      </c>
      <c r="I22" s="122">
        <f t="shared" si="5"/>
        <v>0.0</v>
      </c>
      <c r="J22" s="122">
        <f t="shared" si="5"/>
        <v>0.0</v>
      </c>
      <c r="K22" s="122">
        <f t="shared" si="5"/>
        <v>0.0</v>
      </c>
    </row>
    <row r="23" spans="8:8">
      <c r="A23" s="123" t="s">
        <v>132</v>
      </c>
      <c r="B23" s="123"/>
      <c r="C23" s="123"/>
      <c r="D23" s="124"/>
      <c r="E23" s="124">
        <f>SUM(E8:E22)</f>
        <v>2293340.0</v>
      </c>
      <c r="F23" s="124">
        <f t="shared" si="8" ref="F23:K23">SUM(F8:F22)</f>
        <v>2483007.0</v>
      </c>
      <c r="G23" s="124">
        <f t="shared" si="8"/>
        <v>2689657.3500000006</v>
      </c>
      <c r="H23" s="124">
        <f t="shared" si="8"/>
        <v>2914890.2175000007</v>
      </c>
      <c r="I23" s="124">
        <f t="shared" si="8"/>
        <v>3160459.728375001</v>
      </c>
      <c r="J23" s="124">
        <f t="shared" si="8"/>
        <v>3428290.2147937515</v>
      </c>
      <c r="K23" s="124">
        <f t="shared" si="8"/>
        <v>3720492.9755334393</v>
      </c>
    </row>
    <row r="28" spans="8:8">
      <c r="A28" s="125"/>
      <c r="B28" s="125"/>
      <c r="C28" s="125"/>
      <c r="D28" s="125"/>
      <c r="E28" s="125"/>
      <c r="F28" s="125"/>
      <c r="G28" s="125"/>
      <c r="H28" s="125"/>
      <c r="I28" s="125"/>
      <c r="J28" s="125"/>
      <c r="K28" s="125"/>
      <c r="L28" s="125"/>
      <c r="M28" s="125"/>
      <c r="N28" s="125"/>
      <c r="O28" s="125"/>
    </row>
    <row r="29" spans="8:8" ht="18.75">
      <c r="A29" s="126" t="s">
        <v>574</v>
      </c>
      <c r="B29" s="126"/>
      <c r="C29" s="126"/>
      <c r="D29" s="126"/>
      <c r="E29" s="126"/>
      <c r="F29" s="126"/>
      <c r="G29" s="126"/>
      <c r="H29" s="126"/>
      <c r="I29" s="126"/>
      <c r="J29" s="126"/>
      <c r="K29" s="126"/>
      <c r="L29" s="126"/>
      <c r="M29" s="126"/>
      <c r="N29" s="126"/>
      <c r="O29" s="126"/>
      <c r="P29" s="126"/>
      <c r="Q29" s="126"/>
    </row>
    <row r="30" spans="8:8" s="127" ht="15.0" customFormat="1">
      <c r="A30" s="128"/>
      <c r="B30" s="128"/>
      <c r="C30" s="128"/>
      <c r="D30" s="128"/>
      <c r="E30" s="128"/>
      <c r="F30" s="128"/>
      <c r="G30" s="128"/>
      <c r="H30" s="128"/>
      <c r="I30" s="128"/>
      <c r="J30" s="128"/>
      <c r="K30" s="128"/>
      <c r="L30" s="128"/>
      <c r="M30" s="128"/>
      <c r="N30" s="128"/>
      <c r="O30" s="128"/>
    </row>
    <row r="31" spans="8:8">
      <c r="A31" s="115"/>
      <c r="B31" s="115"/>
      <c r="C31" s="129" t="s">
        <v>195</v>
      </c>
      <c r="D31" s="129"/>
      <c r="E31" s="129"/>
      <c r="F31" s="129"/>
      <c r="G31" s="129"/>
      <c r="H31" s="129"/>
      <c r="I31" s="129"/>
      <c r="J31" s="115"/>
      <c r="K31" s="130" t="s">
        <v>196</v>
      </c>
      <c r="L31" s="130"/>
      <c r="M31" s="130"/>
      <c r="N31" s="130"/>
      <c r="O31" s="130"/>
      <c r="P31" s="130"/>
      <c r="Q31" s="130"/>
    </row>
    <row r="32" spans="8:8">
      <c r="A32" s="131" t="s">
        <v>0</v>
      </c>
      <c r="B32" s="132"/>
      <c r="C32" s="133" t="s">
        <v>2</v>
      </c>
      <c r="D32" s="133" t="s">
        <v>3</v>
      </c>
      <c r="E32" s="133" t="s">
        <v>4</v>
      </c>
      <c r="F32" s="133" t="s">
        <v>5</v>
      </c>
      <c r="G32" s="133" t="s">
        <v>6</v>
      </c>
      <c r="H32" s="133" t="s">
        <v>169</v>
      </c>
      <c r="I32" s="133" t="s">
        <v>168</v>
      </c>
      <c r="J32" s="134"/>
      <c r="K32" s="133" t="s">
        <v>2</v>
      </c>
      <c r="L32" s="133" t="s">
        <v>3</v>
      </c>
      <c r="M32" s="133" t="s">
        <v>4</v>
      </c>
      <c r="N32" s="133" t="s">
        <v>5</v>
      </c>
      <c r="O32" s="133" t="s">
        <v>6</v>
      </c>
      <c r="P32" s="133" t="s">
        <v>169</v>
      </c>
      <c r="Q32" s="133" t="s">
        <v>168</v>
      </c>
    </row>
    <row r="33" spans="8:8">
      <c r="A33" s="135" t="s">
        <v>197</v>
      </c>
      <c r="B33" s="136"/>
      <c r="C33" s="136"/>
      <c r="D33" s="136"/>
      <c r="E33" s="136"/>
      <c r="F33" s="136"/>
      <c r="G33" s="137"/>
      <c r="H33" s="137"/>
      <c r="I33" s="137"/>
      <c r="J33" s="136"/>
      <c r="K33" s="136"/>
      <c r="L33" s="136"/>
      <c r="M33" s="136"/>
      <c r="N33" s="136"/>
      <c r="O33" s="137"/>
      <c r="P33" s="137"/>
      <c r="Q33" s="137"/>
    </row>
    <row r="34" spans="8:8">
      <c r="A34" s="135"/>
      <c r="B34" s="136"/>
      <c r="C34" s="136"/>
      <c r="D34" s="136"/>
      <c r="E34" s="136"/>
      <c r="F34" s="136"/>
      <c r="G34" s="137"/>
      <c r="H34" s="137"/>
      <c r="I34" s="137"/>
      <c r="J34" s="136"/>
      <c r="K34" s="136"/>
      <c r="L34" s="136"/>
      <c r="M34" s="136"/>
      <c r="N34" s="136"/>
      <c r="O34" s="137"/>
      <c r="P34" s="137"/>
      <c r="Q34" s="137"/>
    </row>
    <row r="35" spans="8:8">
      <c r="A35" s="138"/>
      <c r="B35" s="138"/>
      <c r="C35" s="136"/>
      <c r="D35" s="136"/>
      <c r="E35" s="136"/>
      <c r="F35" s="136"/>
      <c r="G35" s="136"/>
      <c r="H35" s="136"/>
      <c r="I35" s="136"/>
      <c r="J35" s="136"/>
      <c r="K35" s="136"/>
      <c r="L35" s="136"/>
      <c r="M35" s="136"/>
      <c r="N35" s="136"/>
      <c r="O35" s="136"/>
      <c r="P35" s="136"/>
      <c r="Q35" s="136"/>
    </row>
    <row r="36" spans="8:8">
      <c r="A36" s="139" t="s">
        <v>201</v>
      </c>
      <c r="B36" s="139"/>
      <c r="C36" s="136"/>
      <c r="D36" s="136"/>
      <c r="E36" s="136"/>
      <c r="F36" s="136"/>
      <c r="G36" s="136"/>
      <c r="H36" s="136"/>
      <c r="I36" s="136"/>
      <c r="J36" s="136"/>
      <c r="K36" s="136"/>
      <c r="L36" s="136"/>
      <c r="M36" s="136"/>
      <c r="N36" s="136"/>
      <c r="O36" s="136"/>
      <c r="P36" s="136"/>
      <c r="Q36" s="136"/>
    </row>
    <row r="37" spans="8:8">
      <c r="A37" s="138" t="s">
        <v>198</v>
      </c>
      <c r="B37" s="138"/>
      <c r="C37" s="140">
        <f>'1.Project Cost and MOF'!D5</f>
        <v>2.2109604E7</v>
      </c>
      <c r="D37" s="140">
        <f t="shared" si="9" ref="D37:I37">C40</f>
        <v>2.14087295532E7</v>
      </c>
      <c r="E37" s="140">
        <f t="shared" si="9"/>
        <v>2.0707855106399998E7</v>
      </c>
      <c r="F37" s="140">
        <f t="shared" si="9"/>
        <v>2.00069806596E7</v>
      </c>
      <c r="G37" s="140">
        <f t="shared" si="9"/>
        <v>1.93061062128E7</v>
      </c>
      <c r="H37" s="140">
        <f t="shared" si="9"/>
        <v>1.8605231766E7</v>
      </c>
      <c r="I37" s="140">
        <f t="shared" si="9"/>
        <v>1.7904357319199998E7</v>
      </c>
      <c r="J37" s="136"/>
      <c r="K37" s="140">
        <f>C37</f>
        <v>2.2109604E7</v>
      </c>
      <c r="L37" s="140">
        <f t="shared" si="10" ref="L37:Q37">K40</f>
        <v>1.98986436E7</v>
      </c>
      <c r="M37" s="140">
        <f t="shared" si="10"/>
        <v>1.7908779240000002E7</v>
      </c>
      <c r="N37" s="140">
        <f t="shared" si="10"/>
        <v>1.6117901315999998E7</v>
      </c>
      <c r="O37" s="140">
        <f t="shared" si="10"/>
        <v>1.45061111844E7</v>
      </c>
      <c r="P37" s="140">
        <f t="shared" si="10"/>
        <v>1.305550006596E7</v>
      </c>
      <c r="Q37" s="140">
        <f t="shared" si="10"/>
        <v>1.1749950059363998E7</v>
      </c>
    </row>
    <row r="38" spans="8:8">
      <c r="A38" s="138" t="s">
        <v>17</v>
      </c>
      <c r="B38" s="138"/>
      <c r="C38" s="140">
        <f t="shared" si="11" ref="C38:I38">$C$37*$B$74</f>
        <v>700874.4468</v>
      </c>
      <c r="D38" s="140">
        <f t="shared" si="11"/>
        <v>700874.4468</v>
      </c>
      <c r="E38" s="140">
        <f t="shared" si="11"/>
        <v>700874.4468</v>
      </c>
      <c r="F38" s="140">
        <f t="shared" si="11"/>
        <v>700874.4468</v>
      </c>
      <c r="G38" s="140">
        <f t="shared" si="11"/>
        <v>700874.4468</v>
      </c>
      <c r="H38" s="140">
        <f t="shared" si="11"/>
        <v>700874.4468</v>
      </c>
      <c r="I38" s="140">
        <f t="shared" si="11"/>
        <v>700874.4468</v>
      </c>
      <c r="J38" s="136"/>
      <c r="K38" s="140">
        <f t="shared" si="12" ref="K38:Q38">K37*$C$74</f>
        <v>2210960.4</v>
      </c>
      <c r="L38" s="140">
        <f t="shared" si="12"/>
        <v>1989864.3600000003</v>
      </c>
      <c r="M38" s="140">
        <f t="shared" si="12"/>
        <v>1790877.9240000003</v>
      </c>
      <c r="N38" s="140">
        <f t="shared" si="12"/>
        <v>1611790.1316</v>
      </c>
      <c r="O38" s="140">
        <f t="shared" si="12"/>
        <v>1450611.11844</v>
      </c>
      <c r="P38" s="140">
        <f t="shared" si="12"/>
        <v>1305550.006596</v>
      </c>
      <c r="Q38" s="140">
        <f t="shared" si="12"/>
        <v>1174995.0059363998</v>
      </c>
    </row>
    <row r="39" spans="8:8">
      <c r="A39" s="138" t="s">
        <v>199</v>
      </c>
      <c r="B39" s="138"/>
      <c r="C39" s="140">
        <f>C38</f>
        <v>700874.4468</v>
      </c>
      <c r="D39" s="140">
        <f t="shared" si="13" ref="D39:I39">C39+D38</f>
        <v>1401748.8936</v>
      </c>
      <c r="E39" s="140">
        <f t="shared" si="13"/>
        <v>2102623.3404</v>
      </c>
      <c r="F39" s="140">
        <f t="shared" si="13"/>
        <v>2803497.7872</v>
      </c>
      <c r="G39" s="140">
        <f t="shared" si="13"/>
        <v>3504372.234</v>
      </c>
      <c r="H39" s="140">
        <f t="shared" si="13"/>
        <v>4205246.6808</v>
      </c>
      <c r="I39" s="140">
        <f t="shared" si="13"/>
        <v>4906121.1276</v>
      </c>
      <c r="J39" s="136"/>
      <c r="K39" s="140">
        <f>K38</f>
        <v>2210960.4</v>
      </c>
      <c r="L39" s="140">
        <f t="shared" si="14" ref="L39:Q39">K39+L38</f>
        <v>4200824.76</v>
      </c>
      <c r="M39" s="140">
        <f t="shared" si="14"/>
        <v>5991702.684</v>
      </c>
      <c r="N39" s="140">
        <f t="shared" si="14"/>
        <v>7603492.8156</v>
      </c>
      <c r="O39" s="140">
        <f t="shared" si="14"/>
        <v>9054103.93404</v>
      </c>
      <c r="P39" s="140">
        <f t="shared" si="14"/>
        <v>1.0359653940636002E7</v>
      </c>
      <c r="Q39" s="140">
        <f t="shared" si="14"/>
        <v>1.15346489465724E7</v>
      </c>
    </row>
    <row r="40" spans="8:8">
      <c r="A40" s="138" t="s">
        <v>200</v>
      </c>
      <c r="B40" s="138"/>
      <c r="C40" s="140">
        <f t="shared" si="15" ref="C40:I40">C37-C38</f>
        <v>2.14087295532E7</v>
      </c>
      <c r="D40" s="140">
        <f t="shared" si="15"/>
        <v>2.0707855106399998E7</v>
      </c>
      <c r="E40" s="140">
        <f t="shared" si="15"/>
        <v>2.00069806596E7</v>
      </c>
      <c r="F40" s="140">
        <f t="shared" si="15"/>
        <v>1.93061062128E7</v>
      </c>
      <c r="G40" s="140">
        <f t="shared" si="15"/>
        <v>1.8605231766E7</v>
      </c>
      <c r="H40" s="140">
        <f t="shared" si="15"/>
        <v>1.7904357319199998E7</v>
      </c>
      <c r="I40" s="140">
        <f t="shared" si="15"/>
        <v>1.72034828724E7</v>
      </c>
      <c r="J40" s="136"/>
      <c r="K40" s="140">
        <f t="shared" si="16" ref="K40:Q40">K37-K38</f>
        <v>1.98986436E7</v>
      </c>
      <c r="L40" s="140">
        <f t="shared" si="16"/>
        <v>1.7908779240000002E7</v>
      </c>
      <c r="M40" s="140">
        <f t="shared" si="16"/>
        <v>1.6117901315999998E7</v>
      </c>
      <c r="N40" s="140">
        <f t="shared" si="16"/>
        <v>1.45061111844E7</v>
      </c>
      <c r="O40" s="140">
        <f t="shared" si="16"/>
        <v>1.305550006596E7</v>
      </c>
      <c r="P40" s="140">
        <f t="shared" si="16"/>
        <v>1.1749950059363998E7</v>
      </c>
      <c r="Q40" s="140">
        <f t="shared" si="16"/>
        <v>1.05749550534276E7</v>
      </c>
    </row>
    <row r="41" spans="8:8">
      <c r="A41" s="138"/>
      <c r="B41" s="138"/>
      <c r="C41" s="140"/>
      <c r="D41" s="140"/>
      <c r="E41" s="140"/>
      <c r="F41" s="140"/>
      <c r="G41" s="140"/>
      <c r="H41" s="140"/>
      <c r="I41" s="140"/>
      <c r="J41" s="136"/>
      <c r="K41" s="140"/>
      <c r="L41" s="140"/>
      <c r="M41" s="140"/>
      <c r="N41" s="140"/>
      <c r="O41" s="140"/>
      <c r="P41" s="140"/>
      <c r="Q41" s="140"/>
    </row>
    <row r="42" spans="8:8">
      <c r="A42" s="139" t="s">
        <v>202</v>
      </c>
      <c r="B42" s="139"/>
      <c r="C42" s="140"/>
      <c r="D42" s="140"/>
      <c r="E42" s="140"/>
      <c r="F42" s="140"/>
      <c r="G42" s="140"/>
      <c r="H42" s="140"/>
      <c r="I42" s="140"/>
      <c r="J42" s="136"/>
      <c r="K42" s="140"/>
      <c r="L42" s="140"/>
      <c r="M42" s="140"/>
      <c r="N42" s="140"/>
      <c r="O42" s="140"/>
      <c r="P42" s="140"/>
      <c r="Q42" s="140"/>
    </row>
    <row r="43" spans="8:8">
      <c r="A43" s="138" t="s">
        <v>198</v>
      </c>
      <c r="B43" s="138"/>
      <c r="C43" s="140">
        <f>'1.Project Cost and MOF'!D6</f>
        <v>5118245.0</v>
      </c>
      <c r="D43" s="140">
        <f t="shared" si="17" ref="D43:I43">C46</f>
        <v>4794260.0915</v>
      </c>
      <c r="E43" s="140">
        <f t="shared" si="17"/>
        <v>4470275.183</v>
      </c>
      <c r="F43" s="140">
        <f t="shared" si="17"/>
        <v>4146290.2745000003</v>
      </c>
      <c r="G43" s="140">
        <f t="shared" si="17"/>
        <v>3822305.366</v>
      </c>
      <c r="H43" s="140">
        <f t="shared" si="17"/>
        <v>3498320.4575</v>
      </c>
      <c r="I43" s="140">
        <f t="shared" si="17"/>
        <v>3174335.549</v>
      </c>
      <c r="J43" s="136"/>
      <c r="K43" s="140">
        <f>C43</f>
        <v>5118245.0</v>
      </c>
      <c r="L43" s="140">
        <f t="shared" si="18" ref="L43:Q43">K46</f>
        <v>4350508.25</v>
      </c>
      <c r="M43" s="140">
        <f t="shared" si="18"/>
        <v>3697932.0125</v>
      </c>
      <c r="N43" s="140">
        <f t="shared" si="18"/>
        <v>3143242.2106250003</v>
      </c>
      <c r="O43" s="140">
        <f t="shared" si="18"/>
        <v>2671755.87903125</v>
      </c>
      <c r="P43" s="140">
        <f t="shared" si="18"/>
        <v>2270992.497176563</v>
      </c>
      <c r="Q43" s="140">
        <f t="shared" si="18"/>
        <v>1930343.622600076</v>
      </c>
    </row>
    <row r="44" spans="8:8">
      <c r="A44" s="138" t="s">
        <v>17</v>
      </c>
      <c r="B44" s="138"/>
      <c r="C44" s="140">
        <f t="shared" si="19" ref="C44:I44">$C$43*$B$78</f>
        <v>323984.90849999996</v>
      </c>
      <c r="D44" s="140">
        <f t="shared" si="19"/>
        <v>323984.90849999996</v>
      </c>
      <c r="E44" s="140">
        <f t="shared" si="19"/>
        <v>323984.90849999996</v>
      </c>
      <c r="F44" s="140">
        <f t="shared" si="19"/>
        <v>323984.90849999996</v>
      </c>
      <c r="G44" s="140">
        <f t="shared" si="19"/>
        <v>323984.90849999996</v>
      </c>
      <c r="H44" s="140">
        <f t="shared" si="19"/>
        <v>323984.90849999996</v>
      </c>
      <c r="I44" s="140">
        <f t="shared" si="19"/>
        <v>323984.90849999996</v>
      </c>
      <c r="J44" s="136"/>
      <c r="K44" s="140">
        <f t="shared" si="20" ref="K44:Q44">K43*$C$78</f>
        <v>767736.75</v>
      </c>
      <c r="L44" s="140">
        <f t="shared" si="20"/>
        <v>652576.2374999999</v>
      </c>
      <c r="M44" s="140">
        <f t="shared" si="20"/>
        <v>554689.801875</v>
      </c>
      <c r="N44" s="140">
        <f t="shared" si="20"/>
        <v>471486.33159375004</v>
      </c>
      <c r="O44" s="140">
        <f t="shared" si="20"/>
        <v>400763.38185468747</v>
      </c>
      <c r="P44" s="140">
        <f t="shared" si="20"/>
        <v>340648.87457648444</v>
      </c>
      <c r="Q44" s="140">
        <f t="shared" si="20"/>
        <v>289551.5433900114</v>
      </c>
    </row>
    <row r="45" spans="8:8">
      <c r="A45" s="138" t="s">
        <v>199</v>
      </c>
      <c r="B45" s="138"/>
      <c r="C45" s="140">
        <f>C44</f>
        <v>323984.90849999996</v>
      </c>
      <c r="D45" s="140">
        <f t="shared" si="21" ref="D45:I45">C45+D44</f>
        <v>647969.817</v>
      </c>
      <c r="E45" s="140">
        <f t="shared" si="21"/>
        <v>971954.7255000001</v>
      </c>
      <c r="F45" s="140">
        <f t="shared" si="21"/>
        <v>1295939.634</v>
      </c>
      <c r="G45" s="140">
        <f t="shared" si="21"/>
        <v>1619924.5425</v>
      </c>
      <c r="H45" s="140">
        <f t="shared" si="21"/>
        <v>1943909.451</v>
      </c>
      <c r="I45" s="140">
        <f t="shared" si="21"/>
        <v>2267894.3595</v>
      </c>
      <c r="J45" s="136"/>
      <c r="K45" s="140">
        <f>K44</f>
        <v>767736.75</v>
      </c>
      <c r="L45" s="140">
        <f t="shared" si="22" ref="L45:Q45">K45+L44</f>
        <v>1420312.9875</v>
      </c>
      <c r="M45" s="140">
        <f t="shared" si="22"/>
        <v>1975002.7893750002</v>
      </c>
      <c r="N45" s="140">
        <f t="shared" si="22"/>
        <v>2446489.1209687497</v>
      </c>
      <c r="O45" s="140">
        <f t="shared" si="22"/>
        <v>2847252.502823437</v>
      </c>
      <c r="P45" s="140">
        <f t="shared" si="22"/>
        <v>3187901.3773999237</v>
      </c>
      <c r="Q45" s="140">
        <f t="shared" si="22"/>
        <v>3477452.920789931</v>
      </c>
    </row>
    <row r="46" spans="8:8">
      <c r="A46" s="138" t="s">
        <v>200</v>
      </c>
      <c r="B46" s="138"/>
      <c r="C46" s="140">
        <f t="shared" si="23" ref="C46:I46">C43-C44</f>
        <v>4794260.0915</v>
      </c>
      <c r="D46" s="140">
        <f t="shared" si="23"/>
        <v>4470275.183</v>
      </c>
      <c r="E46" s="140">
        <f t="shared" si="23"/>
        <v>4146290.2745000003</v>
      </c>
      <c r="F46" s="140">
        <f t="shared" si="23"/>
        <v>3822305.366</v>
      </c>
      <c r="G46" s="140">
        <f t="shared" si="23"/>
        <v>3498320.4575</v>
      </c>
      <c r="H46" s="140">
        <f t="shared" si="23"/>
        <v>3174335.549</v>
      </c>
      <c r="I46" s="140">
        <f t="shared" si="23"/>
        <v>2850350.6405</v>
      </c>
      <c r="J46" s="136"/>
      <c r="K46" s="140">
        <f t="shared" si="24" ref="K46:Q46">K43-K44</f>
        <v>4350508.25</v>
      </c>
      <c r="L46" s="140">
        <f t="shared" si="24"/>
        <v>3697932.0125</v>
      </c>
      <c r="M46" s="140">
        <f t="shared" si="24"/>
        <v>3143242.2106250003</v>
      </c>
      <c r="N46" s="140">
        <f t="shared" si="24"/>
        <v>2671755.87903125</v>
      </c>
      <c r="O46" s="140">
        <f t="shared" si="24"/>
        <v>2270992.497176563</v>
      </c>
      <c r="P46" s="140">
        <f t="shared" si="24"/>
        <v>1930343.622600076</v>
      </c>
      <c r="Q46" s="140">
        <f t="shared" si="24"/>
        <v>1640792.079210069</v>
      </c>
    </row>
    <row r="47" spans="8:8">
      <c r="A47" s="138"/>
      <c r="B47" s="138"/>
      <c r="C47" s="140"/>
      <c r="D47" s="140"/>
      <c r="E47" s="140"/>
      <c r="F47" s="140"/>
      <c r="G47" s="140"/>
      <c r="H47" s="140"/>
      <c r="I47" s="140"/>
      <c r="J47" s="136"/>
      <c r="K47" s="140"/>
      <c r="L47" s="140"/>
      <c r="M47" s="140"/>
      <c r="N47" s="140"/>
      <c r="O47" s="140"/>
      <c r="P47" s="140"/>
      <c r="Q47" s="140"/>
    </row>
    <row r="48" spans="8:8">
      <c r="A48" s="139" t="s">
        <v>203</v>
      </c>
      <c r="B48" s="139"/>
      <c r="C48" s="140"/>
      <c r="D48" s="140"/>
      <c r="E48" s="140"/>
      <c r="F48" s="140"/>
      <c r="G48" s="140"/>
      <c r="H48" s="140"/>
      <c r="I48" s="140"/>
      <c r="J48" s="136"/>
      <c r="K48" s="140"/>
      <c r="L48" s="140"/>
      <c r="M48" s="140"/>
      <c r="N48" s="140"/>
      <c r="O48" s="140"/>
      <c r="P48" s="140"/>
      <c r="Q48" s="140"/>
    </row>
    <row r="49" spans="8:8">
      <c r="A49" s="138" t="s">
        <v>198</v>
      </c>
      <c r="B49" s="138"/>
      <c r="C49" s="140">
        <f>'1.Project Cost and MOF'!D7</f>
        <v>0.0</v>
      </c>
      <c r="D49" s="140">
        <f t="shared" si="25" ref="D49:I49">C52</f>
        <v>0.0</v>
      </c>
      <c r="E49" s="140">
        <f t="shared" si="25"/>
        <v>0.0</v>
      </c>
      <c r="F49" s="140">
        <f t="shared" si="25"/>
        <v>0.0</v>
      </c>
      <c r="G49" s="140">
        <f t="shared" si="25"/>
        <v>0.0</v>
      </c>
      <c r="H49" s="140">
        <f t="shared" si="25"/>
        <v>0.0</v>
      </c>
      <c r="I49" s="140">
        <f t="shared" si="25"/>
        <v>0.0</v>
      </c>
      <c r="J49" s="136"/>
      <c r="K49" s="140">
        <f>C49</f>
        <v>0.0</v>
      </c>
      <c r="L49" s="140">
        <f t="shared" si="26" ref="L49:Q49">K52</f>
        <v>0.0</v>
      </c>
      <c r="M49" s="140">
        <f t="shared" si="26"/>
        <v>0.0</v>
      </c>
      <c r="N49" s="140">
        <f t="shared" si="26"/>
        <v>0.0</v>
      </c>
      <c r="O49" s="140">
        <f t="shared" si="26"/>
        <v>0.0</v>
      </c>
      <c r="P49" s="140">
        <f t="shared" si="26"/>
        <v>0.0</v>
      </c>
      <c r="Q49" s="140">
        <f t="shared" si="26"/>
        <v>0.0</v>
      </c>
    </row>
    <row r="50" spans="8:8">
      <c r="A50" s="138" t="s">
        <v>17</v>
      </c>
      <c r="B50" s="138"/>
      <c r="C50" s="140">
        <f t="shared" si="27" ref="C50:I50">$C$49*$B$75</f>
        <v>0.0</v>
      </c>
      <c r="D50" s="140">
        <f t="shared" si="27"/>
        <v>0.0</v>
      </c>
      <c r="E50" s="140">
        <f t="shared" si="27"/>
        <v>0.0</v>
      </c>
      <c r="F50" s="140">
        <f t="shared" si="27"/>
        <v>0.0</v>
      </c>
      <c r="G50" s="140">
        <f t="shared" si="27"/>
        <v>0.0</v>
      </c>
      <c r="H50" s="140">
        <f t="shared" si="27"/>
        <v>0.0</v>
      </c>
      <c r="I50" s="140">
        <f t="shared" si="27"/>
        <v>0.0</v>
      </c>
      <c r="J50" s="136"/>
      <c r="K50" s="140">
        <f t="shared" si="28" ref="K50:Q50">K49*$C$75</f>
        <v>0.0</v>
      </c>
      <c r="L50" s="140">
        <f t="shared" si="28"/>
        <v>0.0</v>
      </c>
      <c r="M50" s="140">
        <f t="shared" si="28"/>
        <v>0.0</v>
      </c>
      <c r="N50" s="140">
        <f t="shared" si="28"/>
        <v>0.0</v>
      </c>
      <c r="O50" s="140">
        <f t="shared" si="28"/>
        <v>0.0</v>
      </c>
      <c r="P50" s="140">
        <f t="shared" si="28"/>
        <v>0.0</v>
      </c>
      <c r="Q50" s="140">
        <f t="shared" si="28"/>
        <v>0.0</v>
      </c>
    </row>
    <row r="51" spans="8:8">
      <c r="A51" s="138" t="s">
        <v>199</v>
      </c>
      <c r="B51" s="138"/>
      <c r="C51" s="140">
        <f>C50</f>
        <v>0.0</v>
      </c>
      <c r="D51" s="140">
        <f t="shared" si="29" ref="D51:I51">C51+D50</f>
        <v>0.0</v>
      </c>
      <c r="E51" s="140">
        <f t="shared" si="29"/>
        <v>0.0</v>
      </c>
      <c r="F51" s="140">
        <f t="shared" si="29"/>
        <v>0.0</v>
      </c>
      <c r="G51" s="140">
        <f t="shared" si="29"/>
        <v>0.0</v>
      </c>
      <c r="H51" s="140">
        <f t="shared" si="29"/>
        <v>0.0</v>
      </c>
      <c r="I51" s="140">
        <f t="shared" si="29"/>
        <v>0.0</v>
      </c>
      <c r="J51" s="136"/>
      <c r="K51" s="140">
        <f>K50</f>
        <v>0.0</v>
      </c>
      <c r="L51" s="140">
        <f t="shared" si="30" ref="L51:Q51">K51+L50</f>
        <v>0.0</v>
      </c>
      <c r="M51" s="140">
        <f t="shared" si="30"/>
        <v>0.0</v>
      </c>
      <c r="N51" s="140">
        <f t="shared" si="30"/>
        <v>0.0</v>
      </c>
      <c r="O51" s="140">
        <f t="shared" si="30"/>
        <v>0.0</v>
      </c>
      <c r="P51" s="140">
        <f t="shared" si="30"/>
        <v>0.0</v>
      </c>
      <c r="Q51" s="140">
        <f t="shared" si="30"/>
        <v>0.0</v>
      </c>
    </row>
    <row r="52" spans="8:8">
      <c r="A52" s="138" t="s">
        <v>200</v>
      </c>
      <c r="B52" s="138"/>
      <c r="C52" s="140">
        <f t="shared" si="31" ref="C52:I52">C49-C50</f>
        <v>0.0</v>
      </c>
      <c r="D52" s="140">
        <f t="shared" si="31"/>
        <v>0.0</v>
      </c>
      <c r="E52" s="140">
        <f t="shared" si="31"/>
        <v>0.0</v>
      </c>
      <c r="F52" s="140">
        <f t="shared" si="31"/>
        <v>0.0</v>
      </c>
      <c r="G52" s="140">
        <f t="shared" si="31"/>
        <v>0.0</v>
      </c>
      <c r="H52" s="140">
        <f t="shared" si="31"/>
        <v>0.0</v>
      </c>
      <c r="I52" s="140">
        <f t="shared" si="31"/>
        <v>0.0</v>
      </c>
      <c r="J52" s="136"/>
      <c r="K52" s="140">
        <f t="shared" si="32" ref="K52:Q52">K49-K50</f>
        <v>0.0</v>
      </c>
      <c r="L52" s="140">
        <f t="shared" si="32"/>
        <v>0.0</v>
      </c>
      <c r="M52" s="140">
        <f t="shared" si="32"/>
        <v>0.0</v>
      </c>
      <c r="N52" s="140">
        <f t="shared" si="32"/>
        <v>0.0</v>
      </c>
      <c r="O52" s="140">
        <f t="shared" si="32"/>
        <v>0.0</v>
      </c>
      <c r="P52" s="140">
        <f t="shared" si="32"/>
        <v>0.0</v>
      </c>
      <c r="Q52" s="140">
        <f t="shared" si="32"/>
        <v>0.0</v>
      </c>
    </row>
    <row r="53" spans="8:8">
      <c r="A53" s="138"/>
      <c r="B53" s="138"/>
      <c r="C53" s="140"/>
      <c r="D53" s="140"/>
      <c r="E53" s="140"/>
      <c r="F53" s="140"/>
      <c r="G53" s="140"/>
      <c r="H53" s="140"/>
      <c r="I53" s="140"/>
      <c r="J53" s="136"/>
      <c r="K53" s="140"/>
      <c r="L53" s="140"/>
      <c r="M53" s="140"/>
      <c r="N53" s="140"/>
      <c r="O53" s="140"/>
      <c r="P53" s="140"/>
      <c r="Q53" s="140"/>
    </row>
    <row r="54" spans="8:8">
      <c r="A54" s="139" t="s">
        <v>159</v>
      </c>
      <c r="B54" s="139"/>
      <c r="C54" s="140"/>
      <c r="D54" s="140"/>
      <c r="E54" s="140"/>
      <c r="F54" s="140"/>
      <c r="G54" s="140"/>
      <c r="H54" s="140"/>
      <c r="I54" s="140"/>
      <c r="J54" s="136"/>
      <c r="K54" s="140"/>
      <c r="L54" s="140"/>
      <c r="M54" s="140"/>
      <c r="N54" s="140"/>
      <c r="O54" s="140"/>
      <c r="P54" s="140"/>
      <c r="Q54" s="140"/>
    </row>
    <row r="55" spans="8:8">
      <c r="A55" s="138" t="s">
        <v>198</v>
      </c>
      <c r="B55" s="138"/>
      <c r="C55" s="140">
        <f>'1.Project Cost and MOF'!D9</f>
        <v>0.0</v>
      </c>
      <c r="D55" s="140">
        <f t="shared" si="33" ref="D55:I55">C58</f>
        <v>0.0</v>
      </c>
      <c r="E55" s="140">
        <f t="shared" si="33"/>
        <v>0.0</v>
      </c>
      <c r="F55" s="140">
        <f t="shared" si="33"/>
        <v>0.0</v>
      </c>
      <c r="G55" s="140">
        <f t="shared" si="33"/>
        <v>0.0</v>
      </c>
      <c r="H55" s="140">
        <f t="shared" si="33"/>
        <v>0.0</v>
      </c>
      <c r="I55" s="140">
        <f t="shared" si="33"/>
        <v>0.0</v>
      </c>
      <c r="J55" s="136"/>
      <c r="K55" s="140">
        <f>C55</f>
        <v>0.0</v>
      </c>
      <c r="L55" s="140">
        <f t="shared" si="34" ref="L55:Q55">K58</f>
        <v>0.0</v>
      </c>
      <c r="M55" s="140">
        <f t="shared" si="34"/>
        <v>0.0</v>
      </c>
      <c r="N55" s="140">
        <f t="shared" si="34"/>
        <v>0.0</v>
      </c>
      <c r="O55" s="140">
        <f t="shared" si="34"/>
        <v>0.0</v>
      </c>
      <c r="P55" s="140">
        <f t="shared" si="34"/>
        <v>0.0</v>
      </c>
      <c r="Q55" s="140">
        <f t="shared" si="34"/>
        <v>0.0</v>
      </c>
    </row>
    <row r="56" spans="8:8">
      <c r="A56" s="138" t="s">
        <v>17</v>
      </c>
      <c r="B56" s="138"/>
      <c r="C56" s="140">
        <f t="shared" si="35" ref="C56:I56">$C$55*$B$77</f>
        <v>0.0</v>
      </c>
      <c r="D56" s="140">
        <f t="shared" si="35"/>
        <v>0.0</v>
      </c>
      <c r="E56" s="140">
        <f t="shared" si="35"/>
        <v>0.0</v>
      </c>
      <c r="F56" s="140">
        <f t="shared" si="35"/>
        <v>0.0</v>
      </c>
      <c r="G56" s="140">
        <f t="shared" si="35"/>
        <v>0.0</v>
      </c>
      <c r="H56" s="140">
        <f t="shared" si="35"/>
        <v>0.0</v>
      </c>
      <c r="I56" s="140">
        <f t="shared" si="35"/>
        <v>0.0</v>
      </c>
      <c r="J56" s="136"/>
      <c r="K56" s="140">
        <f t="shared" si="36" ref="K56:Q56">K55*$C$77</f>
        <v>0.0</v>
      </c>
      <c r="L56" s="140">
        <f t="shared" si="36"/>
        <v>0.0</v>
      </c>
      <c r="M56" s="140">
        <f t="shared" si="36"/>
        <v>0.0</v>
      </c>
      <c r="N56" s="140">
        <f t="shared" si="36"/>
        <v>0.0</v>
      </c>
      <c r="O56" s="140">
        <f t="shared" si="36"/>
        <v>0.0</v>
      </c>
      <c r="P56" s="140">
        <f t="shared" si="36"/>
        <v>0.0</v>
      </c>
      <c r="Q56" s="140">
        <f t="shared" si="36"/>
        <v>0.0</v>
      </c>
    </row>
    <row r="57" spans="8:8">
      <c r="A57" s="138" t="s">
        <v>199</v>
      </c>
      <c r="B57" s="138"/>
      <c r="C57" s="140">
        <f>C56</f>
        <v>0.0</v>
      </c>
      <c r="D57" s="140">
        <f t="shared" si="37" ref="D57:I57">C57+D56</f>
        <v>0.0</v>
      </c>
      <c r="E57" s="140">
        <f t="shared" si="37"/>
        <v>0.0</v>
      </c>
      <c r="F57" s="140">
        <f t="shared" si="37"/>
        <v>0.0</v>
      </c>
      <c r="G57" s="140">
        <f t="shared" si="37"/>
        <v>0.0</v>
      </c>
      <c r="H57" s="140">
        <f t="shared" si="37"/>
        <v>0.0</v>
      </c>
      <c r="I57" s="140">
        <f t="shared" si="37"/>
        <v>0.0</v>
      </c>
      <c r="J57" s="136"/>
      <c r="K57" s="140">
        <f>K56</f>
        <v>0.0</v>
      </c>
      <c r="L57" s="140">
        <f t="shared" si="38" ref="L57:Q57">K57+L56</f>
        <v>0.0</v>
      </c>
      <c r="M57" s="140">
        <f t="shared" si="38"/>
        <v>0.0</v>
      </c>
      <c r="N57" s="140">
        <f t="shared" si="38"/>
        <v>0.0</v>
      </c>
      <c r="O57" s="140">
        <f t="shared" si="38"/>
        <v>0.0</v>
      </c>
      <c r="P57" s="140">
        <f t="shared" si="38"/>
        <v>0.0</v>
      </c>
      <c r="Q57" s="140">
        <f t="shared" si="38"/>
        <v>0.0</v>
      </c>
    </row>
    <row r="58" spans="8:8">
      <c r="A58" s="138" t="s">
        <v>200</v>
      </c>
      <c r="B58" s="138"/>
      <c r="C58" s="140">
        <f t="shared" si="39" ref="C58:I58">C55-C56</f>
        <v>0.0</v>
      </c>
      <c r="D58" s="140">
        <f t="shared" si="39"/>
        <v>0.0</v>
      </c>
      <c r="E58" s="140">
        <f t="shared" si="39"/>
        <v>0.0</v>
      </c>
      <c r="F58" s="140">
        <f t="shared" si="39"/>
        <v>0.0</v>
      </c>
      <c r="G58" s="140">
        <f t="shared" si="39"/>
        <v>0.0</v>
      </c>
      <c r="H58" s="140">
        <f t="shared" si="39"/>
        <v>0.0</v>
      </c>
      <c r="I58" s="140">
        <f t="shared" si="39"/>
        <v>0.0</v>
      </c>
      <c r="J58" s="136"/>
      <c r="K58" s="140">
        <f t="shared" si="40" ref="K58:Q58">K55-K56</f>
        <v>0.0</v>
      </c>
      <c r="L58" s="140">
        <f t="shared" si="40"/>
        <v>0.0</v>
      </c>
      <c r="M58" s="140">
        <f t="shared" si="40"/>
        <v>0.0</v>
      </c>
      <c r="N58" s="140">
        <f t="shared" si="40"/>
        <v>0.0</v>
      </c>
      <c r="O58" s="140">
        <f t="shared" si="40"/>
        <v>0.0</v>
      </c>
      <c r="P58" s="140">
        <f t="shared" si="40"/>
        <v>0.0</v>
      </c>
      <c r="Q58" s="140">
        <f t="shared" si="40"/>
        <v>0.0</v>
      </c>
    </row>
    <row r="59" spans="8:8">
      <c r="A59" s="138"/>
      <c r="B59" s="138"/>
      <c r="C59" s="140"/>
      <c r="D59" s="140"/>
      <c r="E59" s="140"/>
      <c r="F59" s="140"/>
      <c r="G59" s="140"/>
      <c r="H59" s="140"/>
      <c r="I59" s="140"/>
      <c r="J59" s="136"/>
      <c r="K59" s="140"/>
      <c r="L59" s="140"/>
      <c r="M59" s="140"/>
      <c r="N59" s="140"/>
      <c r="O59" s="140"/>
      <c r="P59" s="140"/>
      <c r="Q59" s="140"/>
    </row>
    <row r="60" spans="8:8">
      <c r="A60" s="141" t="s">
        <v>335</v>
      </c>
      <c r="B60" s="138"/>
      <c r="C60" s="140"/>
      <c r="D60" s="140"/>
      <c r="E60" s="140"/>
      <c r="F60" s="140"/>
      <c r="G60" s="140"/>
      <c r="H60" s="140"/>
      <c r="I60" s="140"/>
      <c r="J60" s="136"/>
      <c r="K60" s="140"/>
      <c r="L60" s="140"/>
      <c r="M60" s="140"/>
      <c r="N60" s="140"/>
      <c r="O60" s="140"/>
      <c r="P60" s="140"/>
      <c r="Q60" s="140"/>
    </row>
    <row r="61" spans="8:8">
      <c r="A61" s="138" t="str">
        <f>A55</f>
        <v>Asset Value</v>
      </c>
      <c r="B61" s="138"/>
      <c r="C61" s="140">
        <f>'1.Project Cost and MOF'!D8</f>
        <v>0.0</v>
      </c>
      <c r="D61" s="140">
        <f t="shared" si="41" ref="D61:I61">C64</f>
        <v>0.0</v>
      </c>
      <c r="E61" s="140">
        <f t="shared" si="41"/>
        <v>0.0</v>
      </c>
      <c r="F61" s="140">
        <f t="shared" si="41"/>
        <v>0.0</v>
      </c>
      <c r="G61" s="140">
        <f t="shared" si="41"/>
        <v>0.0</v>
      </c>
      <c r="H61" s="140">
        <f t="shared" si="41"/>
        <v>0.0</v>
      </c>
      <c r="I61" s="140">
        <f t="shared" si="41"/>
        <v>0.0</v>
      </c>
      <c r="J61" s="136"/>
      <c r="K61" s="140">
        <f>C61</f>
        <v>0.0</v>
      </c>
      <c r="L61" s="140">
        <f t="shared" si="42" ref="L61:Q61">K64</f>
        <v>0.0</v>
      </c>
      <c r="M61" s="140">
        <f t="shared" si="42"/>
        <v>0.0</v>
      </c>
      <c r="N61" s="140">
        <f t="shared" si="42"/>
        <v>0.0</v>
      </c>
      <c r="O61" s="140">
        <f t="shared" si="42"/>
        <v>0.0</v>
      </c>
      <c r="P61" s="140">
        <f t="shared" si="42"/>
        <v>0.0</v>
      </c>
      <c r="Q61" s="140">
        <f t="shared" si="42"/>
        <v>0.0</v>
      </c>
    </row>
    <row r="62" spans="8:8">
      <c r="A62" s="138" t="str">
        <f>A56</f>
        <v>Depreciation</v>
      </c>
      <c r="B62" s="138"/>
      <c r="C62" s="140">
        <f t="shared" si="43" ref="C62:I62">$C$61*$B$76</f>
        <v>0.0</v>
      </c>
      <c r="D62" s="140">
        <f t="shared" si="43"/>
        <v>0.0</v>
      </c>
      <c r="E62" s="140">
        <f t="shared" si="43"/>
        <v>0.0</v>
      </c>
      <c r="F62" s="140">
        <f t="shared" si="43"/>
        <v>0.0</v>
      </c>
      <c r="G62" s="140">
        <f t="shared" si="43"/>
        <v>0.0</v>
      </c>
      <c r="H62" s="140">
        <f t="shared" si="43"/>
        <v>0.0</v>
      </c>
      <c r="I62" s="140">
        <f t="shared" si="43"/>
        <v>0.0</v>
      </c>
      <c r="J62" s="136"/>
      <c r="K62" s="140">
        <f t="shared" si="44" ref="K62:Q62">K61*$C$76</f>
        <v>0.0</v>
      </c>
      <c r="L62" s="140">
        <f t="shared" si="44"/>
        <v>0.0</v>
      </c>
      <c r="M62" s="140">
        <f t="shared" si="44"/>
        <v>0.0</v>
      </c>
      <c r="N62" s="140">
        <f t="shared" si="44"/>
        <v>0.0</v>
      </c>
      <c r="O62" s="140">
        <f t="shared" si="44"/>
        <v>0.0</v>
      </c>
      <c r="P62" s="140">
        <f t="shared" si="44"/>
        <v>0.0</v>
      </c>
      <c r="Q62" s="140">
        <f t="shared" si="44"/>
        <v>0.0</v>
      </c>
    </row>
    <row r="63" spans="8:8">
      <c r="A63" s="138" t="str">
        <f>A57</f>
        <v>Accumulated Depreciation</v>
      </c>
      <c r="B63" s="138"/>
      <c r="C63" s="140">
        <f>C62</f>
        <v>0.0</v>
      </c>
      <c r="D63" s="140">
        <f t="shared" si="45" ref="D63:I63">D62+C63</f>
        <v>0.0</v>
      </c>
      <c r="E63" s="140">
        <f t="shared" si="45"/>
        <v>0.0</v>
      </c>
      <c r="F63" s="140">
        <f t="shared" si="45"/>
        <v>0.0</v>
      </c>
      <c r="G63" s="140">
        <f t="shared" si="45"/>
        <v>0.0</v>
      </c>
      <c r="H63" s="140">
        <f t="shared" si="45"/>
        <v>0.0</v>
      </c>
      <c r="I63" s="140">
        <f t="shared" si="45"/>
        <v>0.0</v>
      </c>
      <c r="J63" s="136"/>
      <c r="K63" s="140">
        <f>K62</f>
        <v>0.0</v>
      </c>
      <c r="L63" s="140">
        <f t="shared" si="46" ref="L63:Q63">L62+K63</f>
        <v>0.0</v>
      </c>
      <c r="M63" s="140">
        <f t="shared" si="46"/>
        <v>0.0</v>
      </c>
      <c r="N63" s="140">
        <f t="shared" si="46"/>
        <v>0.0</v>
      </c>
      <c r="O63" s="140">
        <f t="shared" si="46"/>
        <v>0.0</v>
      </c>
      <c r="P63" s="140">
        <f t="shared" si="46"/>
        <v>0.0</v>
      </c>
      <c r="Q63" s="140">
        <f t="shared" si="46"/>
        <v>0.0</v>
      </c>
    </row>
    <row r="64" spans="8:8">
      <c r="A64" s="138" t="str">
        <f>A58</f>
        <v>Net Fixed Assets</v>
      </c>
      <c r="B64" s="138"/>
      <c r="C64" s="140">
        <f t="shared" si="47" ref="C64:I64">C61-C62</f>
        <v>0.0</v>
      </c>
      <c r="D64" s="140">
        <f t="shared" si="47"/>
        <v>0.0</v>
      </c>
      <c r="E64" s="140">
        <f t="shared" si="47"/>
        <v>0.0</v>
      </c>
      <c r="F64" s="140">
        <f t="shared" si="47"/>
        <v>0.0</v>
      </c>
      <c r="G64" s="140">
        <f t="shared" si="47"/>
        <v>0.0</v>
      </c>
      <c r="H64" s="140">
        <f t="shared" si="47"/>
        <v>0.0</v>
      </c>
      <c r="I64" s="140">
        <f t="shared" si="47"/>
        <v>0.0</v>
      </c>
      <c r="J64" s="136"/>
      <c r="K64" s="140">
        <f t="shared" si="48" ref="K64:Q64">K61-K62</f>
        <v>0.0</v>
      </c>
      <c r="L64" s="140">
        <f t="shared" si="48"/>
        <v>0.0</v>
      </c>
      <c r="M64" s="140">
        <f t="shared" si="48"/>
        <v>0.0</v>
      </c>
      <c r="N64" s="140">
        <f t="shared" si="48"/>
        <v>0.0</v>
      </c>
      <c r="O64" s="140">
        <f t="shared" si="48"/>
        <v>0.0</v>
      </c>
      <c r="P64" s="140">
        <f t="shared" si="48"/>
        <v>0.0</v>
      </c>
      <c r="Q64" s="140">
        <f t="shared" si="48"/>
        <v>0.0</v>
      </c>
    </row>
    <row r="65" spans="8:8">
      <c r="A65" s="139" t="s">
        <v>204</v>
      </c>
      <c r="B65" s="139"/>
      <c r="C65" s="142">
        <f t="shared" si="49" ref="C65:I68">C49+C43+C37+C55+C61</f>
        <v>2.7227849E7</v>
      </c>
      <c r="D65" s="142">
        <f t="shared" si="49"/>
        <v>2.62029896447E7</v>
      </c>
      <c r="E65" s="142">
        <f t="shared" si="49"/>
        <v>2.51781302894E7</v>
      </c>
      <c r="F65" s="142">
        <f t="shared" si="49"/>
        <v>2.41532709341E7</v>
      </c>
      <c r="G65" s="142">
        <f t="shared" si="49"/>
        <v>2.31284115788E7</v>
      </c>
      <c r="H65" s="142">
        <f t="shared" si="49"/>
        <v>2.21035522235E7</v>
      </c>
      <c r="I65" s="142">
        <f t="shared" si="49"/>
        <v>2.10786928682E7</v>
      </c>
      <c r="J65" s="136"/>
      <c r="K65" s="142">
        <f t="shared" si="50" ref="K65:Q68">K49+K43+K37+K55+K61</f>
        <v>2.7227849E7</v>
      </c>
      <c r="L65" s="142">
        <f t="shared" si="50"/>
        <v>2.424915185E7</v>
      </c>
      <c r="M65" s="142">
        <f t="shared" si="50"/>
        <v>2.16067112525E7</v>
      </c>
      <c r="N65" s="142">
        <f t="shared" si="50"/>
        <v>1.9261143526625E7</v>
      </c>
      <c r="O65" s="142">
        <f t="shared" si="50"/>
        <v>1.71778670634312E7</v>
      </c>
      <c r="P65" s="142">
        <f t="shared" si="50"/>
        <v>1.53264925631366E7</v>
      </c>
      <c r="Q65" s="142">
        <f t="shared" si="50"/>
        <v>1.36802936819641E7</v>
      </c>
    </row>
    <row r="66" spans="8:8">
      <c r="A66" s="139" t="s">
        <v>205</v>
      </c>
      <c r="B66" s="139"/>
      <c r="C66" s="142">
        <f t="shared" si="49"/>
        <v>1024859.3553</v>
      </c>
      <c r="D66" s="142">
        <f t="shared" si="49"/>
        <v>1024859.3553</v>
      </c>
      <c r="E66" s="142">
        <f t="shared" si="49"/>
        <v>1024859.3553</v>
      </c>
      <c r="F66" s="142">
        <f t="shared" si="49"/>
        <v>1024859.3553</v>
      </c>
      <c r="G66" s="142">
        <f t="shared" si="49"/>
        <v>1024859.3553</v>
      </c>
      <c r="H66" s="142">
        <f t="shared" si="49"/>
        <v>1024859.3553</v>
      </c>
      <c r="I66" s="142">
        <f t="shared" si="49"/>
        <v>1024859.3553</v>
      </c>
      <c r="J66" s="136"/>
      <c r="K66" s="142">
        <f t="shared" si="50"/>
        <v>2978697.15</v>
      </c>
      <c r="L66" s="142">
        <f t="shared" si="50"/>
        <v>2642440.5975</v>
      </c>
      <c r="M66" s="142">
        <f t="shared" si="50"/>
        <v>2345567.725875</v>
      </c>
      <c r="N66" s="142">
        <f t="shared" si="50"/>
        <v>2083276.46319375</v>
      </c>
      <c r="O66" s="142">
        <f t="shared" si="50"/>
        <v>1851374.50029469</v>
      </c>
      <c r="P66" s="142">
        <f t="shared" si="50"/>
        <v>1646198.88117248</v>
      </c>
      <c r="Q66" s="142">
        <f t="shared" si="50"/>
        <v>1464546.54932641</v>
      </c>
    </row>
    <row r="67" spans="8:8">
      <c r="A67" s="139" t="s">
        <v>206</v>
      </c>
      <c r="B67" s="139"/>
      <c r="C67" s="142">
        <f t="shared" si="49"/>
        <v>1024859.3553</v>
      </c>
      <c r="D67" s="142">
        <f t="shared" si="49"/>
        <v>2049718.7106</v>
      </c>
      <c r="E67" s="142">
        <f t="shared" si="49"/>
        <v>3074578.0659</v>
      </c>
      <c r="F67" s="142">
        <f t="shared" si="49"/>
        <v>4099437.4212</v>
      </c>
      <c r="G67" s="142">
        <f t="shared" si="49"/>
        <v>5124296.7765</v>
      </c>
      <c r="H67" s="142">
        <f t="shared" si="49"/>
        <v>6149156.1318</v>
      </c>
      <c r="I67" s="142">
        <f t="shared" si="49"/>
        <v>7174015.4871</v>
      </c>
      <c r="J67" s="136"/>
      <c r="K67" s="142">
        <f t="shared" si="50"/>
        <v>2978697.15</v>
      </c>
      <c r="L67" s="142">
        <f t="shared" si="50"/>
        <v>5621137.7475</v>
      </c>
      <c r="M67" s="142">
        <f t="shared" si="50"/>
        <v>7966705.473375</v>
      </c>
      <c r="N67" s="142">
        <f t="shared" si="50"/>
        <v>1.00499819365688E7</v>
      </c>
      <c r="O67" s="142">
        <f t="shared" si="50"/>
        <v>1.19013564368634E7</v>
      </c>
      <c r="P67" s="142">
        <f t="shared" si="50"/>
        <v>1.35475553180359E7</v>
      </c>
      <c r="Q67" s="142">
        <f t="shared" si="50"/>
        <v>1.50121018673623E7</v>
      </c>
    </row>
    <row r="68" spans="8:8">
      <c r="A68" s="139" t="s">
        <v>200</v>
      </c>
      <c r="B68" s="139"/>
      <c r="C68" s="142">
        <f t="shared" si="49"/>
        <v>2.62029896447E7</v>
      </c>
      <c r="D68" s="142">
        <f t="shared" si="49"/>
        <v>2.51781302894E7</v>
      </c>
      <c r="E68" s="142">
        <f t="shared" si="49"/>
        <v>2.41532709341E7</v>
      </c>
      <c r="F68" s="142">
        <f t="shared" si="49"/>
        <v>2.31284115788E7</v>
      </c>
      <c r="G68" s="142">
        <f t="shared" si="49"/>
        <v>2.21035522235E7</v>
      </c>
      <c r="H68" s="142">
        <f t="shared" si="49"/>
        <v>2.10786928682E7</v>
      </c>
      <c r="I68" s="142">
        <f t="shared" si="49"/>
        <v>2.00538335129E7</v>
      </c>
      <c r="J68" s="136"/>
      <c r="K68" s="142">
        <f t="shared" si="50"/>
        <v>2.424915185E7</v>
      </c>
      <c r="L68" s="142">
        <f t="shared" si="50"/>
        <v>2.16067112525E7</v>
      </c>
      <c r="M68" s="142">
        <f t="shared" si="50"/>
        <v>1.9261143526625E7</v>
      </c>
      <c r="N68" s="142">
        <f t="shared" si="50"/>
        <v>1.71778670634312E7</v>
      </c>
      <c r="O68" s="142">
        <f t="shared" si="50"/>
        <v>1.53264925631366E7</v>
      </c>
      <c r="P68" s="142">
        <f t="shared" si="50"/>
        <v>1.36802936819641E7</v>
      </c>
      <c r="Q68" s="142">
        <f t="shared" si="50"/>
        <v>1.22157471326377E7</v>
      </c>
    </row>
    <row r="69" spans="8:8">
      <c r="A69" s="143"/>
      <c r="B69" s="143"/>
      <c r="C69" s="144"/>
      <c r="D69" s="144"/>
      <c r="E69" s="144"/>
      <c r="F69" s="144"/>
      <c r="G69" s="144"/>
      <c r="H69" s="144"/>
      <c r="I69" s="144"/>
      <c r="J69" s="115"/>
    </row>
    <row r="70" spans="8:8">
      <c r="A70" s="115"/>
      <c r="B70" s="115"/>
      <c r="C70" s="115"/>
      <c r="D70" s="115"/>
      <c r="E70" s="115"/>
      <c r="F70" s="115"/>
      <c r="G70" s="115"/>
      <c r="H70" s="115"/>
      <c r="I70" s="115"/>
      <c r="J70" s="115"/>
    </row>
    <row r="71" spans="8:8" ht="29.25">
      <c r="A71" s="145" t="s">
        <v>207</v>
      </c>
      <c r="B71" s="146" t="s">
        <v>208</v>
      </c>
      <c r="C71" s="147" t="s">
        <v>209</v>
      </c>
      <c r="D71" s="115"/>
      <c r="E71" s="115"/>
      <c r="F71" s="115"/>
      <c r="G71" s="115"/>
      <c r="H71" s="115"/>
      <c r="I71" s="115"/>
      <c r="J71" s="115"/>
    </row>
    <row r="72" spans="8:8" ht="29.25">
      <c r="A72" s="148" t="s">
        <v>210</v>
      </c>
      <c r="B72" s="146" t="s">
        <v>211</v>
      </c>
      <c r="C72" s="147" t="s">
        <v>212</v>
      </c>
      <c r="D72" s="115"/>
      <c r="E72" s="115"/>
      <c r="F72" s="115"/>
      <c r="G72" s="115"/>
      <c r="H72" s="115"/>
      <c r="I72" s="115"/>
      <c r="J72" s="115"/>
    </row>
    <row r="73" spans="8:8">
      <c r="A73" s="148" t="s">
        <v>149</v>
      </c>
      <c r="B73" s="149">
        <v>0.0</v>
      </c>
      <c r="C73" s="149">
        <v>0.0</v>
      </c>
      <c r="D73" s="115"/>
      <c r="E73" s="115"/>
      <c r="F73" s="115"/>
      <c r="G73" s="115"/>
      <c r="H73" s="115"/>
      <c r="I73" s="115"/>
      <c r="J73" s="115"/>
    </row>
    <row r="74" spans="8:8">
      <c r="A74" s="150" t="s">
        <v>201</v>
      </c>
      <c r="B74" s="149">
        <v>0.0317</v>
      </c>
      <c r="C74" s="149">
        <v>0.1</v>
      </c>
      <c r="D74" s="116"/>
      <c r="E74" s="115"/>
      <c r="F74" s="115"/>
      <c r="G74" s="115"/>
      <c r="H74" s="115"/>
      <c r="I74" s="115"/>
      <c r="J74" s="115"/>
    </row>
    <row r="75" spans="8:8">
      <c r="A75" s="150" t="s">
        <v>203</v>
      </c>
      <c r="B75" s="151">
        <v>0.1</v>
      </c>
      <c r="C75" s="149">
        <v>0.1</v>
      </c>
      <c r="D75" s="115"/>
      <c r="E75" s="115"/>
      <c r="F75" s="115"/>
      <c r="G75" s="115"/>
      <c r="H75" s="115"/>
      <c r="I75" s="115"/>
      <c r="J75" s="115"/>
    </row>
    <row r="76" spans="8:8">
      <c r="A76" s="115" t="s">
        <v>213</v>
      </c>
      <c r="B76" s="151">
        <v>0.1</v>
      </c>
      <c r="C76" s="151">
        <v>0.4</v>
      </c>
      <c r="D76" s="115"/>
      <c r="E76" s="115"/>
      <c r="F76" s="115"/>
      <c r="G76" s="115"/>
      <c r="H76" s="115"/>
      <c r="I76" s="115"/>
      <c r="J76" s="115"/>
    </row>
    <row r="77" spans="8:8">
      <c r="A77" s="115" t="s">
        <v>278</v>
      </c>
      <c r="B77" s="151">
        <v>0.1188</v>
      </c>
      <c r="C77" s="151">
        <v>0.15</v>
      </c>
      <c r="D77" s="115"/>
      <c r="E77" s="115"/>
      <c r="F77" s="115"/>
      <c r="G77" s="115"/>
      <c r="H77" s="115"/>
      <c r="I77" s="115"/>
      <c r="J77" s="115"/>
    </row>
    <row r="78" spans="8:8">
      <c r="A78" s="150" t="s">
        <v>214</v>
      </c>
      <c r="B78" s="151">
        <v>0.0633</v>
      </c>
      <c r="C78" s="151">
        <v>0.15</v>
      </c>
      <c r="D78" s="115"/>
      <c r="E78" s="115"/>
      <c r="F78" s="115"/>
      <c r="G78" s="115"/>
      <c r="H78" s="115"/>
      <c r="I78" s="115"/>
      <c r="J78" s="115"/>
    </row>
    <row r="79" spans="8:8" ht="29.25">
      <c r="A79" s="148" t="s">
        <v>207</v>
      </c>
      <c r="B79" s="149"/>
      <c r="C79" s="152"/>
      <c r="D79" s="115"/>
      <c r="E79" s="115"/>
      <c r="F79" s="115"/>
      <c r="G79" s="115"/>
      <c r="H79" s="115"/>
      <c r="I79" s="115"/>
      <c r="J79" s="115"/>
    </row>
    <row r="80" spans="8:8">
      <c r="A80" s="150" t="s">
        <v>215</v>
      </c>
      <c r="B80" s="152">
        <v>0.2</v>
      </c>
      <c r="C80" s="153">
        <v>0.2</v>
      </c>
      <c r="D80" s="115"/>
      <c r="E80" s="115"/>
      <c r="F80" s="115"/>
      <c r="G80" s="115"/>
      <c r="H80" s="115"/>
      <c r="I80" s="115"/>
      <c r="J80" s="115"/>
    </row>
    <row r="81" spans="8:8">
      <c r="A81" s="115"/>
      <c r="B81" s="115"/>
      <c r="C81" s="115"/>
      <c r="D81" s="115"/>
      <c r="E81" s="115"/>
      <c r="F81" s="115"/>
      <c r="G81" s="115"/>
      <c r="H81" s="115"/>
      <c r="I81" s="115"/>
      <c r="J81" s="115"/>
    </row>
    <row r="82" spans="8:8">
      <c r="A82" s="115"/>
      <c r="B82" s="115"/>
      <c r="C82" s="115"/>
      <c r="D82" s="115"/>
      <c r="E82" s="154"/>
      <c r="F82" s="115"/>
      <c r="G82" s="115"/>
      <c r="H82" s="115"/>
      <c r="I82" s="115"/>
      <c r="J82" s="115"/>
    </row>
    <row r="83" spans="8:8" s="155" ht="18.75" customFormat="1">
      <c r="A83" s="30" t="s">
        <v>575</v>
      </c>
      <c r="B83" s="30"/>
      <c r="C83" s="30"/>
      <c r="D83" s="30"/>
      <c r="E83" s="30"/>
      <c r="F83" s="30"/>
      <c r="G83" s="30"/>
      <c r="H83" s="30"/>
      <c r="I83" s="30"/>
      <c r="J83" s="30"/>
    </row>
    <row r="84" spans="8:8" s="155" ht="15.0" customFormat="1">
      <c r="A84" s="156"/>
      <c r="B84" s="156"/>
    </row>
    <row r="85" spans="8:8" s="155" ht="15.0" customFormat="1">
      <c r="A85" s="157" t="s">
        <v>0</v>
      </c>
      <c r="B85" s="158" t="s">
        <v>345</v>
      </c>
      <c r="C85" s="159" t="s">
        <v>2</v>
      </c>
      <c r="D85" s="159" t="s">
        <v>3</v>
      </c>
      <c r="E85" s="159" t="s">
        <v>4</v>
      </c>
      <c r="F85" s="159" t="s">
        <v>5</v>
      </c>
      <c r="G85" s="159" t="s">
        <v>6</v>
      </c>
      <c r="H85" s="159" t="s">
        <v>169</v>
      </c>
      <c r="I85" s="159" t="s">
        <v>168</v>
      </c>
      <c r="J85" s="160"/>
      <c r="K85" s="160"/>
      <c r="L85" s="160"/>
    </row>
    <row r="86" spans="8:8" s="155" ht="15.0" customFormat="1">
      <c r="A86" s="161" t="s">
        <v>256</v>
      </c>
      <c r="B86" s="162">
        <v>5.0</v>
      </c>
      <c r="C86" s="163">
        <f>'1.Project Cost and MOF'!$D$10/5</f>
        <v>272278.4</v>
      </c>
      <c r="D86" s="163">
        <f>'1.Project Cost and MOF'!$D$10/5</f>
        <v>272278.4</v>
      </c>
      <c r="E86" s="163">
        <f>'1.Project Cost and MOF'!$D$10/5</f>
        <v>272278.4</v>
      </c>
      <c r="F86" s="163">
        <f>'1.Project Cost and MOF'!$D$10/5</f>
        <v>272278.4</v>
      </c>
      <c r="G86" s="163">
        <f>'1.Project Cost and MOF'!$D$10/5</f>
        <v>272278.4</v>
      </c>
      <c r="H86" s="163">
        <v>0.0</v>
      </c>
      <c r="I86" s="163">
        <v>0.0</v>
      </c>
      <c r="J86" s="160"/>
      <c r="K86" s="160"/>
      <c r="L86" s="160"/>
    </row>
    <row r="87" spans="8:8" s="155" ht="15.0" customFormat="1">
      <c r="A87" s="164" t="s">
        <v>346</v>
      </c>
      <c r="B87" s="165"/>
      <c r="C87" s="166">
        <f t="shared" si="51" ref="C87:I87">SUM(C85:C86)</f>
        <v>272278.4</v>
      </c>
      <c r="D87" s="166">
        <f t="shared" si="51"/>
        <v>272278.4</v>
      </c>
      <c r="E87" s="166">
        <f t="shared" si="51"/>
        <v>272278.4</v>
      </c>
      <c r="F87" s="166">
        <f t="shared" si="51"/>
        <v>272278.4</v>
      </c>
      <c r="G87" s="166">
        <f t="shared" si="51"/>
        <v>272278.4</v>
      </c>
      <c r="H87" s="166">
        <f t="shared" si="51"/>
        <v>0.0</v>
      </c>
      <c r="I87" s="166">
        <f t="shared" si="51"/>
        <v>0.0</v>
      </c>
      <c r="J87" s="167"/>
      <c r="K87" s="167"/>
      <c r="L87" s="167"/>
    </row>
    <row r="88" spans="8:8" s="155" ht="15.0" customFormat="1">
      <c r="C88" s="160"/>
      <c r="D88" s="160"/>
      <c r="E88" s="160"/>
      <c r="F88" s="160"/>
      <c r="G88" s="160"/>
      <c r="H88" s="160"/>
      <c r="I88" s="160"/>
      <c r="J88" s="160"/>
      <c r="K88" s="160"/>
      <c r="L88" s="160"/>
    </row>
    <row r="91" spans="8:8">
      <c r="A91" s="168"/>
      <c r="B91" s="169"/>
      <c r="C91" s="169"/>
      <c r="D91" s="169"/>
      <c r="E91" s="169"/>
      <c r="F91" s="169"/>
      <c r="G91" s="169"/>
      <c r="H91" s="169"/>
      <c r="I91" s="169"/>
      <c r="J91" s="169"/>
      <c r="K91" s="169"/>
    </row>
    <row r="92" spans="8:8" ht="18.75">
      <c r="A92" s="126" t="s">
        <v>576</v>
      </c>
      <c r="B92" s="126"/>
      <c r="C92" s="126"/>
      <c r="D92" s="126"/>
      <c r="E92" s="126"/>
      <c r="F92" s="126"/>
      <c r="G92" s="126"/>
      <c r="H92" s="126"/>
      <c r="I92" s="170"/>
      <c r="J92" s="170"/>
      <c r="K92" s="170"/>
    </row>
    <row r="93" spans="8:8">
      <c r="A93" s="156"/>
      <c r="B93" s="169"/>
      <c r="C93" s="169"/>
      <c r="D93" s="169"/>
      <c r="E93" s="169"/>
      <c r="F93" s="169"/>
      <c r="G93" s="169"/>
      <c r="H93" s="169"/>
      <c r="I93" s="169"/>
      <c r="J93" s="169"/>
      <c r="K93" s="169"/>
    </row>
    <row r="94" spans="8:8">
      <c r="A94" s="118" t="s">
        <v>0</v>
      </c>
      <c r="B94" s="119" t="s">
        <v>2</v>
      </c>
      <c r="C94" s="119" t="s">
        <v>3</v>
      </c>
      <c r="D94" s="119" t="s">
        <v>4</v>
      </c>
      <c r="E94" s="119" t="s">
        <v>5</v>
      </c>
      <c r="F94" s="119" t="s">
        <v>6</v>
      </c>
      <c r="G94" s="119" t="s">
        <v>169</v>
      </c>
      <c r="H94" s="119" t="s">
        <v>168</v>
      </c>
      <c r="I94" s="171"/>
      <c r="J94" s="171"/>
      <c r="K94" s="171"/>
    </row>
    <row r="95" spans="8:8">
      <c r="A95" s="172" t="s">
        <v>228</v>
      </c>
      <c r="B95" s="173">
        <f>'6.Cons Profit &amp; Loss'!B49</f>
        <v>2428993.83362404</v>
      </c>
      <c r="C95" s="173">
        <f>'6.Cons Profit &amp; Loss'!C49</f>
        <v>4137357.2007879606</v>
      </c>
      <c r="D95" s="173">
        <f>'6.Cons Profit &amp; Loss'!D49</f>
        <v>5556800.86807703</v>
      </c>
      <c r="E95" s="173">
        <f>'6.Cons Profit &amp; Loss'!E49</f>
        <v>7092461.44392637</v>
      </c>
      <c r="F95" s="173">
        <f>'6.Cons Profit &amp; Loss'!F49</f>
        <v>8752174.96895621</v>
      </c>
      <c r="G95" s="173">
        <f>'6.Cons Profit &amp; Loss'!G49</f>
        <v>1.081651587886745E7</v>
      </c>
      <c r="H95" s="173">
        <f>'6.Cons Profit &amp; Loss'!H49</f>
        <v>1.2749706368064908E7</v>
      </c>
      <c r="I95" s="174"/>
      <c r="J95" s="174"/>
      <c r="K95" s="174"/>
    </row>
    <row r="96" spans="8:8">
      <c r="A96" s="172" t="s">
        <v>229</v>
      </c>
      <c r="B96" s="173">
        <f>'6.Cons Profit &amp; Loss'!B42</f>
        <v>1024859.3553</v>
      </c>
      <c r="C96" s="173">
        <f>'6.Cons Profit &amp; Loss'!C42</f>
        <v>1024859.3553</v>
      </c>
      <c r="D96" s="173">
        <f>'6.Cons Profit &amp; Loss'!D42</f>
        <v>1024859.3553</v>
      </c>
      <c r="E96" s="173">
        <f>'6.Cons Profit &amp; Loss'!E42</f>
        <v>1024859.3553</v>
      </c>
      <c r="F96" s="173">
        <f>'6.Cons Profit &amp; Loss'!F42</f>
        <v>1024859.3553</v>
      </c>
      <c r="G96" s="173">
        <f>'6.Cons Profit &amp; Loss'!G42</f>
        <v>1024859.3553</v>
      </c>
      <c r="H96" s="173">
        <f>'6.Cons Profit &amp; Loss'!H42</f>
        <v>1024859.3553</v>
      </c>
      <c r="I96" s="174"/>
      <c r="J96" s="174"/>
      <c r="K96" s="174"/>
    </row>
    <row r="97" spans="8:8">
      <c r="A97" s="172" t="s">
        <v>230</v>
      </c>
      <c r="B97" s="173">
        <f>'3.Other Exp &amp; Taxes'!K66</f>
        <v>2978697.15</v>
      </c>
      <c r="C97" s="173">
        <f>'3.Other Exp &amp; Taxes'!L66</f>
        <v>2642440.5975</v>
      </c>
      <c r="D97" s="173">
        <f>'3.Other Exp &amp; Taxes'!M66</f>
        <v>2345567.725875</v>
      </c>
      <c r="E97" s="173">
        <f>'3.Other Exp &amp; Taxes'!N66</f>
        <v>2083276.46319375</v>
      </c>
      <c r="F97" s="173">
        <f>'3.Other Exp &amp; Taxes'!O66</f>
        <v>1851374.50029469</v>
      </c>
      <c r="G97" s="173">
        <f>'3.Other Exp &amp; Taxes'!P66</f>
        <v>1646198.88117248</v>
      </c>
      <c r="H97" s="173">
        <f>'3.Other Exp &amp; Taxes'!Q66</f>
        <v>1464546.54932641</v>
      </c>
      <c r="I97" s="174"/>
      <c r="J97" s="174"/>
      <c r="K97" s="174"/>
    </row>
    <row r="98" spans="8:8">
      <c r="A98" s="172" t="s">
        <v>291</v>
      </c>
      <c r="B98" s="173">
        <f t="shared" si="52" ref="B98:H98">B95+B96-B97</f>
        <v>475156.0389240403</v>
      </c>
      <c r="C98" s="173">
        <f t="shared" si="52"/>
        <v>2519775.9585879594</v>
      </c>
      <c r="D98" s="173">
        <f t="shared" si="52"/>
        <v>4236092.497502031</v>
      </c>
      <c r="E98" s="173">
        <f t="shared" si="52"/>
        <v>6034044.33603262</v>
      </c>
      <c r="F98" s="173">
        <f t="shared" si="52"/>
        <v>7925659.82396152</v>
      </c>
      <c r="G98" s="173">
        <f t="shared" si="52"/>
        <v>1.019517635299502E7</v>
      </c>
      <c r="H98" s="173">
        <f t="shared" si="52"/>
        <v>1.231001917403849E7</v>
      </c>
      <c r="I98" s="174"/>
      <c r="J98" s="174"/>
      <c r="K98" s="174"/>
    </row>
    <row r="99" spans="8:8">
      <c r="A99" s="175" t="s">
        <v>231</v>
      </c>
      <c r="B99" s="176">
        <f t="shared" si="53" ref="B99:H99">B98*$B$102</f>
        <v>123540.57012025047</v>
      </c>
      <c r="C99" s="176">
        <f t="shared" si="53"/>
        <v>655141.7492328695</v>
      </c>
      <c r="D99" s="176">
        <f t="shared" si="53"/>
        <v>1101384.049350528</v>
      </c>
      <c r="E99" s="176">
        <f t="shared" si="53"/>
        <v>1568851.5273684813</v>
      </c>
      <c r="F99" s="176">
        <f t="shared" si="53"/>
        <v>2060671.5542299952</v>
      </c>
      <c r="G99" s="176">
        <f t="shared" si="53"/>
        <v>2650745.851778705</v>
      </c>
      <c r="H99" s="176">
        <f t="shared" si="53"/>
        <v>3200604.9852500074</v>
      </c>
      <c r="I99" s="174"/>
      <c r="J99" s="174"/>
      <c r="K99" s="174"/>
    </row>
    <row r="100" spans="8:8">
      <c r="A100" s="177"/>
      <c r="B100" s="169"/>
      <c r="C100" s="169"/>
      <c r="D100" s="169"/>
      <c r="E100" s="169"/>
      <c r="F100" s="169"/>
      <c r="G100" s="169"/>
      <c r="H100" s="169"/>
      <c r="I100" s="169"/>
      <c r="J100" s="169"/>
      <c r="K100" s="169"/>
    </row>
    <row r="101" spans="8:8">
      <c r="A101" s="177"/>
      <c r="B101" s="160"/>
      <c r="C101" s="160"/>
      <c r="D101" s="160"/>
      <c r="E101" s="160"/>
      <c r="F101" s="160"/>
      <c r="G101" s="160"/>
      <c r="H101" s="160"/>
      <c r="I101" s="160"/>
      <c r="J101" s="160"/>
      <c r="K101" s="160"/>
    </row>
    <row r="102" spans="8:8">
      <c r="A102" s="178" t="s">
        <v>401</v>
      </c>
      <c r="B102" s="179">
        <v>0.26</v>
      </c>
      <c r="C102" s="160"/>
      <c r="D102" s="160"/>
      <c r="E102" s="160"/>
      <c r="F102" s="160"/>
      <c r="G102" s="160"/>
      <c r="H102" s="160"/>
      <c r="I102" s="160"/>
      <c r="J102" s="160"/>
      <c r="K102" s="160"/>
    </row>
    <row r="103" spans="8:8">
      <c r="A103" s="169"/>
      <c r="B103" s="169"/>
      <c r="C103" s="169"/>
      <c r="D103" s="169"/>
      <c r="E103" s="169"/>
      <c r="F103" s="169"/>
      <c r="G103" s="169"/>
      <c r="H103" s="169"/>
      <c r="I103" s="169"/>
      <c r="J103" s="169"/>
      <c r="K103" s="169"/>
    </row>
    <row r="104" spans="8:8" ht="29.1" customHeight="1">
      <c r="A104" s="180" t="s">
        <v>433</v>
      </c>
      <c r="B104" s="180"/>
      <c r="C104" s="180"/>
      <c r="D104" s="180"/>
      <c r="E104" s="180"/>
      <c r="F104" s="180"/>
      <c r="G104" s="180"/>
      <c r="H104" s="180"/>
      <c r="I104" s="181"/>
      <c r="J104" s="181"/>
      <c r="K104" s="181"/>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45"/>
</worksheet>
</file>

<file path=xl/worksheets/sheet5.xml><?xml version="1.0" encoding="utf-8"?>
<worksheet xmlns:r="http://schemas.openxmlformats.org/officeDocument/2006/relationships" xmlns="http://schemas.openxmlformats.org/spreadsheetml/2006/main">
  <dimension ref="A1:J98"/>
  <sheetViews>
    <sheetView workbookViewId="0" zoomScale="80">
      <selection activeCell="H6" sqref="H6"/>
    </sheetView>
  </sheetViews>
  <sheetFormatPr defaultRowHeight="15.0" defaultColWidth="10"/>
  <cols>
    <col min="2" max="2" customWidth="1" width="15.425781" style="0"/>
    <col min="3" max="3" customWidth="1" bestFit="1" width="28.140625" style="0"/>
    <col min="4" max="4" customWidth="1" width="14.855469" style="0"/>
    <col min="5" max="5" customWidth="1" bestFit="1" width="25.855469" style="0"/>
    <col min="6" max="6" customWidth="1" width="12.140625" style="0"/>
    <col min="7" max="7" customWidth="1" bestFit="1" width="27.140625" style="0"/>
    <col min="8" max="8" customWidth="1" bestFit="1" width="12.140625" style="0"/>
    <col min="9" max="9" customWidth="1" bestFit="1" width="11.855469" style="0"/>
  </cols>
  <sheetData>
    <row r="2" spans="8:8" ht="18.75">
      <c r="A2" s="50" t="s">
        <v>577</v>
      </c>
      <c r="B2" s="50"/>
      <c r="C2" s="50"/>
      <c r="D2" s="50"/>
      <c r="E2" s="50"/>
      <c r="F2" s="50"/>
      <c r="G2" s="182"/>
    </row>
    <row r="3" spans="8:8">
      <c r="B3" s="183"/>
      <c r="C3" s="183"/>
      <c r="D3" s="183"/>
      <c r="E3" s="183"/>
      <c r="F3" s="183"/>
      <c r="G3" s="183"/>
    </row>
    <row r="4" spans="8:8">
      <c r="A4" s="115"/>
      <c r="B4" s="115"/>
      <c r="C4" s="115" t="s">
        <v>479</v>
      </c>
      <c r="D4" s="184">
        <f>'1.Project Cost and MOF'!E20</f>
        <v>8576772.299999999</v>
      </c>
      <c r="E4" s="115"/>
      <c r="F4" s="115"/>
      <c r="G4" s="115"/>
    </row>
    <row r="5" spans="8:8">
      <c r="A5" s="115"/>
      <c r="B5" s="115"/>
      <c r="C5" s="115" t="s">
        <v>480</v>
      </c>
      <c r="D5" s="185">
        <v>0.08</v>
      </c>
      <c r="E5" s="115"/>
      <c r="F5" s="115"/>
      <c r="G5" s="115"/>
    </row>
    <row r="6" spans="8:8">
      <c r="A6" s="115"/>
      <c r="B6" s="115"/>
      <c r="C6" s="115" t="s">
        <v>481</v>
      </c>
      <c r="D6" s="186">
        <v>7.0</v>
      </c>
      <c r="E6" s="115"/>
      <c r="F6" s="115"/>
      <c r="G6" s="115"/>
    </row>
    <row r="7" spans="8:8">
      <c r="A7" s="115"/>
      <c r="B7" s="115"/>
      <c r="C7" s="115" t="s">
        <v>482</v>
      </c>
      <c r="D7" s="186">
        <v>6.0</v>
      </c>
      <c r="E7" s="115"/>
      <c r="F7" s="115"/>
      <c r="G7" s="115"/>
    </row>
    <row r="8" spans="8:8">
      <c r="A8" s="115"/>
      <c r="B8" s="115"/>
      <c r="C8" s="115" t="s">
        <v>22</v>
      </c>
      <c r="D8" s="187">
        <f>PMT(D5/12,(D6-(D7/12))*12,-D4)</f>
        <v>141372.50940169385</v>
      </c>
      <c r="E8" s="187"/>
      <c r="F8" s="188"/>
      <c r="G8" s="115"/>
    </row>
    <row r="9" spans="8:8">
      <c r="A9" s="118" t="s">
        <v>292</v>
      </c>
      <c r="B9" s="189" t="s">
        <v>18</v>
      </c>
      <c r="C9" s="190" t="s">
        <v>19</v>
      </c>
      <c r="D9" s="190" t="s">
        <v>20</v>
      </c>
      <c r="E9" s="190" t="s">
        <v>21</v>
      </c>
      <c r="F9" s="190" t="s">
        <v>22</v>
      </c>
      <c r="G9" s="190" t="s">
        <v>23</v>
      </c>
    </row>
    <row r="10" spans="8:8">
      <c r="A10" s="120" t="s">
        <v>11</v>
      </c>
      <c r="B10" s="120" t="s">
        <v>52</v>
      </c>
      <c r="C10" s="122">
        <f>D4</f>
        <v>8576772.299999999</v>
      </c>
      <c r="D10" s="122">
        <f t="shared" si="0" ref="D10:D41">C10*$D$5/12</f>
        <v>57178.48199999999</v>
      </c>
      <c r="E10" s="122">
        <f t="shared" si="1" ref="E10:E15">F10-D10</f>
        <v>0.0</v>
      </c>
      <c r="F10" s="122">
        <f>D10</f>
        <v>57178.48199999999</v>
      </c>
      <c r="G10" s="122">
        <f>C10-E10</f>
        <v>8576772.3</v>
      </c>
    </row>
    <row r="11" spans="8:8">
      <c r="A11" s="120"/>
      <c r="B11" s="120" t="s">
        <v>53</v>
      </c>
      <c r="C11" s="122">
        <f>G10</f>
        <v>8576772.3</v>
      </c>
      <c r="D11" s="122">
        <f t="shared" si="0"/>
        <v>57178.48200000001</v>
      </c>
      <c r="E11" s="122">
        <f t="shared" si="1"/>
        <v>0.0</v>
      </c>
      <c r="F11" s="122">
        <f t="shared" si="2" ref="F11:F15">D11</f>
        <v>57178.48200000001</v>
      </c>
      <c r="G11" s="122">
        <f t="shared" si="3" ref="G11:G74">C11-E11</f>
        <v>8576772.3</v>
      </c>
    </row>
    <row r="12" spans="8:8">
      <c r="A12" s="120"/>
      <c r="B12" s="120" t="s">
        <v>54</v>
      </c>
      <c r="C12" s="122">
        <f t="shared" si="4" ref="C12:C75">G11</f>
        <v>8576772.3</v>
      </c>
      <c r="D12" s="122">
        <f t="shared" si="0"/>
        <v>57178.48200000001</v>
      </c>
      <c r="E12" s="122">
        <f t="shared" si="1"/>
        <v>0.0</v>
      </c>
      <c r="F12" s="122">
        <f t="shared" si="2"/>
        <v>57178.48200000001</v>
      </c>
      <c r="G12" s="122">
        <f t="shared" si="3"/>
        <v>8576772.3</v>
      </c>
    </row>
    <row r="13" spans="8:8">
      <c r="A13" s="120"/>
      <c r="B13" s="120" t="s">
        <v>55</v>
      </c>
      <c r="C13" s="122">
        <f t="shared" si="4"/>
        <v>8576772.3</v>
      </c>
      <c r="D13" s="122">
        <f t="shared" si="0"/>
        <v>57178.48200000001</v>
      </c>
      <c r="E13" s="122">
        <f t="shared" si="1"/>
        <v>0.0</v>
      </c>
      <c r="F13" s="122">
        <f t="shared" si="2"/>
        <v>57178.48200000001</v>
      </c>
      <c r="G13" s="122">
        <f t="shared" si="3"/>
        <v>8576772.3</v>
      </c>
    </row>
    <row r="14" spans="8:8">
      <c r="A14" s="120"/>
      <c r="B14" s="120" t="s">
        <v>56</v>
      </c>
      <c r="C14" s="122">
        <f t="shared" si="4"/>
        <v>8576772.3</v>
      </c>
      <c r="D14" s="122">
        <f t="shared" si="0"/>
        <v>57178.48200000001</v>
      </c>
      <c r="E14" s="122">
        <f t="shared" si="1"/>
        <v>0.0</v>
      </c>
      <c r="F14" s="122">
        <f t="shared" si="2"/>
        <v>57178.48200000001</v>
      </c>
      <c r="G14" s="122">
        <f t="shared" si="3"/>
        <v>8576772.3</v>
      </c>
    </row>
    <row r="15" spans="8:8">
      <c r="A15" s="120"/>
      <c r="B15" s="120" t="s">
        <v>57</v>
      </c>
      <c r="C15" s="122">
        <f t="shared" si="4"/>
        <v>8576772.3</v>
      </c>
      <c r="D15" s="122">
        <f t="shared" si="0"/>
        <v>57178.48200000001</v>
      </c>
      <c r="E15" s="122">
        <f t="shared" si="1"/>
        <v>0.0</v>
      </c>
      <c r="F15" s="122">
        <f t="shared" si="2"/>
        <v>57178.48200000001</v>
      </c>
      <c r="G15" s="122">
        <f t="shared" si="3"/>
        <v>8576772.3</v>
      </c>
    </row>
    <row r="16" spans="8:8">
      <c r="A16" s="120"/>
      <c r="B16" s="120" t="s">
        <v>58</v>
      </c>
      <c r="C16" s="122">
        <f t="shared" si="4"/>
        <v>8576772.3</v>
      </c>
      <c r="D16" s="122">
        <f t="shared" si="0"/>
        <v>57178.48200000001</v>
      </c>
      <c r="E16" s="122">
        <f>F16-D16</f>
        <v>84194.027401694</v>
      </c>
      <c r="F16" s="122">
        <f t="shared" si="5" ref="F16:F74">$D$8</f>
        <v>141372.50940169385</v>
      </c>
      <c r="G16" s="122">
        <f t="shared" si="3"/>
        <v>8492578.272598308</v>
      </c>
    </row>
    <row r="17" spans="8:8">
      <c r="A17" s="120"/>
      <c r="B17" s="120" t="s">
        <v>59</v>
      </c>
      <c r="C17" s="122">
        <f t="shared" si="4"/>
        <v>8492578.272598308</v>
      </c>
      <c r="D17" s="122">
        <f t="shared" si="0"/>
        <v>56617.18848398872</v>
      </c>
      <c r="E17" s="122">
        <f t="shared" si="6" ref="E17:E80">F17-D17</f>
        <v>84755.3209177053</v>
      </c>
      <c r="F17" s="122">
        <f t="shared" si="5"/>
        <v>141372.50940169385</v>
      </c>
      <c r="G17" s="122">
        <f t="shared" si="3"/>
        <v>8407822.951680604</v>
      </c>
    </row>
    <row r="18" spans="8:8">
      <c r="A18" s="120"/>
      <c r="B18" s="120" t="s">
        <v>60</v>
      </c>
      <c r="C18" s="122">
        <f t="shared" si="4"/>
        <v>8407822.951680604</v>
      </c>
      <c r="D18" s="122">
        <f t="shared" si="0"/>
        <v>56052.153011204035</v>
      </c>
      <c r="E18" s="122">
        <f t="shared" si="6"/>
        <v>85320.35639049</v>
      </c>
      <c r="F18" s="122">
        <f t="shared" si="5"/>
        <v>141372.50940169385</v>
      </c>
      <c r="G18" s="122">
        <f t="shared" si="3"/>
        <v>8322502.59529011</v>
      </c>
    </row>
    <row r="19" spans="8:8">
      <c r="A19" s="120"/>
      <c r="B19" s="120" t="s">
        <v>61</v>
      </c>
      <c r="C19" s="122">
        <f t="shared" si="4"/>
        <v>8322502.59529011</v>
      </c>
      <c r="D19" s="122">
        <f t="shared" si="0"/>
        <v>55483.35063526741</v>
      </c>
      <c r="E19" s="122">
        <f t="shared" si="6"/>
        <v>85889.1587664266</v>
      </c>
      <c r="F19" s="122">
        <f t="shared" si="5"/>
        <v>141372.50940169385</v>
      </c>
      <c r="G19" s="122">
        <f t="shared" si="3"/>
        <v>8236613.436523684</v>
      </c>
    </row>
    <row r="20" spans="8:8">
      <c r="A20" s="120"/>
      <c r="B20" s="120" t="s">
        <v>62</v>
      </c>
      <c r="C20" s="122">
        <f t="shared" si="4"/>
        <v>8236613.436523684</v>
      </c>
      <c r="D20" s="122">
        <f t="shared" si="0"/>
        <v>54910.756243491225</v>
      </c>
      <c r="E20" s="122">
        <f t="shared" si="6"/>
        <v>86461.7531582028</v>
      </c>
      <c r="F20" s="122">
        <f t="shared" si="5"/>
        <v>141372.50940169385</v>
      </c>
      <c r="G20" s="122">
        <f t="shared" si="3"/>
        <v>8150151.683365477</v>
      </c>
    </row>
    <row r="21" spans="8:8">
      <c r="A21" s="120"/>
      <c r="B21" s="120" t="s">
        <v>63</v>
      </c>
      <c r="C21" s="122">
        <f t="shared" si="4"/>
        <v>8150151.683365477</v>
      </c>
      <c r="D21" s="122">
        <f t="shared" si="0"/>
        <v>54334.34455576985</v>
      </c>
      <c r="E21" s="122">
        <f t="shared" si="6"/>
        <v>87038.1648459241</v>
      </c>
      <c r="F21" s="122">
        <f t="shared" si="5"/>
        <v>141372.50940169385</v>
      </c>
      <c r="G21" s="122">
        <f t="shared" si="3"/>
        <v>8063113.518519556</v>
      </c>
      <c r="H21" s="191"/>
      <c r="I21" s="191"/>
    </row>
    <row r="22" spans="8:8">
      <c r="A22" s="120" t="s">
        <v>12</v>
      </c>
      <c r="B22" s="120" t="s">
        <v>64</v>
      </c>
      <c r="C22" s="122">
        <f t="shared" si="4"/>
        <v>8063113.518519556</v>
      </c>
      <c r="D22" s="122">
        <f t="shared" si="0"/>
        <v>53754.09012346371</v>
      </c>
      <c r="E22" s="122">
        <f t="shared" si="6"/>
        <v>87618.4192782303</v>
      </c>
      <c r="F22" s="122">
        <f t="shared" si="5"/>
        <v>141372.50940169385</v>
      </c>
      <c r="G22" s="122">
        <f t="shared" si="3"/>
        <v>7975495.099241329</v>
      </c>
    </row>
    <row r="23" spans="8:8">
      <c r="A23" s="120"/>
      <c r="B23" s="120" t="s">
        <v>65</v>
      </c>
      <c r="C23" s="122">
        <f t="shared" si="4"/>
        <v>7975495.099241329</v>
      </c>
      <c r="D23" s="122">
        <f t="shared" si="0"/>
        <v>53169.96732827553</v>
      </c>
      <c r="E23" s="122">
        <f t="shared" si="6"/>
        <v>88202.5420734185</v>
      </c>
      <c r="F23" s="122">
        <f t="shared" si="5"/>
        <v>141372.50940169385</v>
      </c>
      <c r="G23" s="122">
        <f t="shared" si="3"/>
        <v>7887292.557167912</v>
      </c>
    </row>
    <row r="24" spans="8:8">
      <c r="A24" s="120"/>
      <c r="B24" s="120" t="s">
        <v>66</v>
      </c>
      <c r="C24" s="122">
        <f t="shared" si="4"/>
        <v>7887292.557167912</v>
      </c>
      <c r="D24" s="122">
        <f t="shared" si="0"/>
        <v>52581.950381119415</v>
      </c>
      <c r="E24" s="122">
        <f t="shared" si="6"/>
        <v>88790.5590205746</v>
      </c>
      <c r="F24" s="122">
        <f t="shared" si="5"/>
        <v>141372.50940169385</v>
      </c>
      <c r="G24" s="122">
        <f t="shared" si="3"/>
        <v>7798501.998147336</v>
      </c>
    </row>
    <row r="25" spans="8:8">
      <c r="A25" s="120"/>
      <c r="B25" s="120" t="s">
        <v>67</v>
      </c>
      <c r="C25" s="122">
        <f t="shared" si="4"/>
        <v>7798501.998147336</v>
      </c>
      <c r="D25" s="122">
        <f t="shared" si="0"/>
        <v>51990.013320982245</v>
      </c>
      <c r="E25" s="122">
        <f t="shared" si="6"/>
        <v>89382.4960807118</v>
      </c>
      <c r="F25" s="122">
        <f t="shared" si="5"/>
        <v>141372.50940169385</v>
      </c>
      <c r="G25" s="122">
        <f t="shared" si="3"/>
        <v>7709119.502066628</v>
      </c>
    </row>
    <row r="26" spans="8:8">
      <c r="A26" s="120"/>
      <c r="B26" s="120" t="s">
        <v>68</v>
      </c>
      <c r="C26" s="122">
        <f t="shared" si="4"/>
        <v>7709119.502066628</v>
      </c>
      <c r="D26" s="122">
        <f t="shared" si="0"/>
        <v>51394.130013777525</v>
      </c>
      <c r="E26" s="122">
        <f t="shared" si="6"/>
        <v>89978.3793879165</v>
      </c>
      <c r="F26" s="122">
        <f t="shared" si="5"/>
        <v>141372.50940169385</v>
      </c>
      <c r="G26" s="122">
        <f t="shared" si="3"/>
        <v>7619141.122678714</v>
      </c>
    </row>
    <row r="27" spans="8:8">
      <c r="A27" s="120"/>
      <c r="B27" s="120" t="s">
        <v>69</v>
      </c>
      <c r="C27" s="122">
        <f t="shared" si="4"/>
        <v>7619141.122678714</v>
      </c>
      <c r="D27" s="122">
        <f t="shared" si="0"/>
        <v>50794.27415119143</v>
      </c>
      <c r="E27" s="122">
        <f t="shared" si="6"/>
        <v>90578.23525050259</v>
      </c>
      <c r="F27" s="122">
        <f t="shared" si="5"/>
        <v>141372.50940169385</v>
      </c>
      <c r="G27" s="122">
        <f t="shared" si="3"/>
        <v>7528562.887428207</v>
      </c>
    </row>
    <row r="28" spans="8:8">
      <c r="A28" s="120"/>
      <c r="B28" s="120" t="s">
        <v>70</v>
      </c>
      <c r="C28" s="122">
        <f t="shared" si="4"/>
        <v>7528562.887428207</v>
      </c>
      <c r="D28" s="122">
        <f t="shared" si="0"/>
        <v>50190.41924952139</v>
      </c>
      <c r="E28" s="122">
        <f t="shared" si="6"/>
        <v>91182.0901521726</v>
      </c>
      <c r="F28" s="122">
        <f t="shared" si="5"/>
        <v>141372.50940169385</v>
      </c>
      <c r="G28" s="122">
        <f t="shared" si="3"/>
        <v>7437380.797276038</v>
      </c>
    </row>
    <row r="29" spans="8:8">
      <c r="A29" s="120"/>
      <c r="B29" s="120" t="s">
        <v>71</v>
      </c>
      <c r="C29" s="122">
        <f t="shared" si="4"/>
        <v>7437380.797276038</v>
      </c>
      <c r="D29" s="122">
        <f t="shared" si="0"/>
        <v>49582.53864850692</v>
      </c>
      <c r="E29" s="122">
        <f t="shared" si="6"/>
        <v>91789.9707531871</v>
      </c>
      <c r="F29" s="122">
        <f t="shared" si="5"/>
        <v>141372.50940169385</v>
      </c>
      <c r="G29" s="122">
        <f t="shared" si="3"/>
        <v>7345590.826522852</v>
      </c>
    </row>
    <row r="30" spans="8:8">
      <c r="A30" s="120"/>
      <c r="B30" s="120" t="s">
        <v>72</v>
      </c>
      <c r="C30" s="122">
        <f t="shared" si="4"/>
        <v>7345590.826522852</v>
      </c>
      <c r="D30" s="122">
        <f t="shared" si="0"/>
        <v>48970.60551015235</v>
      </c>
      <c r="E30" s="122">
        <f t="shared" si="6"/>
        <v>92401.90389154159</v>
      </c>
      <c r="F30" s="122">
        <f t="shared" si="5"/>
        <v>141372.50940169385</v>
      </c>
      <c r="G30" s="122">
        <f t="shared" si="3"/>
        <v>7253188.922631308</v>
      </c>
    </row>
    <row r="31" spans="8:8">
      <c r="A31" s="120"/>
      <c r="B31" s="120" t="s">
        <v>73</v>
      </c>
      <c r="C31" s="122">
        <f t="shared" si="4"/>
        <v>7253188.922631308</v>
      </c>
      <c r="D31" s="122">
        <f t="shared" si="0"/>
        <v>48354.592817542056</v>
      </c>
      <c r="E31" s="122">
        <f t="shared" si="6"/>
        <v>93017.9165841519</v>
      </c>
      <c r="F31" s="122">
        <f t="shared" si="5"/>
        <v>141372.50940169385</v>
      </c>
      <c r="G31" s="122">
        <f t="shared" si="3"/>
        <v>7160171.0060471585</v>
      </c>
    </row>
    <row r="32" spans="8:8">
      <c r="A32" s="120"/>
      <c r="B32" s="120" t="s">
        <v>74</v>
      </c>
      <c r="C32" s="122">
        <f t="shared" si="4"/>
        <v>7160171.0060471585</v>
      </c>
      <c r="D32" s="122">
        <f t="shared" si="0"/>
        <v>47734.47337364772</v>
      </c>
      <c r="E32" s="122">
        <f t="shared" si="6"/>
        <v>93638.0360280463</v>
      </c>
      <c r="F32" s="122">
        <f t="shared" si="5"/>
        <v>141372.50940169385</v>
      </c>
      <c r="G32" s="122">
        <f t="shared" si="3"/>
        <v>7066532.970019114</v>
      </c>
    </row>
    <row r="33" spans="8:8">
      <c r="A33" s="120"/>
      <c r="B33" s="120" t="s">
        <v>75</v>
      </c>
      <c r="C33" s="122">
        <f t="shared" si="4"/>
        <v>7066532.970019114</v>
      </c>
      <c r="D33" s="122">
        <f t="shared" si="0"/>
        <v>47110.21980012743</v>
      </c>
      <c r="E33" s="122">
        <f t="shared" si="6"/>
        <v>94262.28960156659</v>
      </c>
      <c r="F33" s="122">
        <f t="shared" si="5"/>
        <v>141372.50940169385</v>
      </c>
      <c r="G33" s="122">
        <f t="shared" si="3"/>
        <v>6972270.680417543</v>
      </c>
      <c r="H33" s="191"/>
      <c r="I33" s="191"/>
    </row>
    <row r="34" spans="8:8">
      <c r="A34" s="120" t="s">
        <v>13</v>
      </c>
      <c r="B34" s="120" t="s">
        <v>76</v>
      </c>
      <c r="C34" s="122">
        <f t="shared" si="4"/>
        <v>6972270.680417543</v>
      </c>
      <c r="D34" s="122">
        <f t="shared" si="0"/>
        <v>46481.80453611696</v>
      </c>
      <c r="E34" s="122">
        <f t="shared" si="6"/>
        <v>94890.70486557699</v>
      </c>
      <c r="F34" s="122">
        <f t="shared" si="5"/>
        <v>141372.50940169385</v>
      </c>
      <c r="G34" s="122">
        <f t="shared" si="3"/>
        <v>6877379.975551963</v>
      </c>
    </row>
    <row r="35" spans="8:8">
      <c r="A35" s="120"/>
      <c r="B35" s="120" t="s">
        <v>77</v>
      </c>
      <c r="C35" s="122">
        <f t="shared" si="4"/>
        <v>6877379.975551963</v>
      </c>
      <c r="D35" s="122">
        <f t="shared" si="0"/>
        <v>45849.19983701309</v>
      </c>
      <c r="E35" s="122">
        <f t="shared" si="6"/>
        <v>95523.30956468091</v>
      </c>
      <c r="F35" s="122">
        <f t="shared" si="5"/>
        <v>141372.50940169385</v>
      </c>
      <c r="G35" s="122">
        <f t="shared" si="3"/>
        <v>6781856.665987279</v>
      </c>
    </row>
    <row r="36" spans="8:8">
      <c r="A36" s="120"/>
      <c r="B36" s="120" t="s">
        <v>78</v>
      </c>
      <c r="C36" s="122">
        <f t="shared" si="4"/>
        <v>6781856.665987279</v>
      </c>
      <c r="D36" s="122">
        <f t="shared" si="0"/>
        <v>45212.37777324853</v>
      </c>
      <c r="E36" s="122">
        <f t="shared" si="6"/>
        <v>96160.1316284455</v>
      </c>
      <c r="F36" s="122">
        <f t="shared" si="5"/>
        <v>141372.50940169385</v>
      </c>
      <c r="G36" s="122">
        <f t="shared" si="3"/>
        <v>6685696.534358835</v>
      </c>
    </row>
    <row r="37" spans="8:8">
      <c r="A37" s="120"/>
      <c r="B37" s="120" t="s">
        <v>79</v>
      </c>
      <c r="C37" s="122">
        <f t="shared" si="4"/>
        <v>6685696.534358835</v>
      </c>
      <c r="D37" s="122">
        <f t="shared" si="0"/>
        <v>44571.3102290589</v>
      </c>
      <c r="E37" s="122">
        <f t="shared" si="6"/>
        <v>96801.1991726351</v>
      </c>
      <c r="F37" s="122">
        <f t="shared" si="5"/>
        <v>141372.50940169385</v>
      </c>
      <c r="G37" s="122">
        <f t="shared" si="3"/>
        <v>6588895.335186206</v>
      </c>
    </row>
    <row r="38" spans="8:8">
      <c r="A38" s="120"/>
      <c r="B38" s="120" t="s">
        <v>80</v>
      </c>
      <c r="C38" s="122">
        <f t="shared" si="4"/>
        <v>6588895.335186206</v>
      </c>
      <c r="D38" s="122">
        <f t="shared" si="0"/>
        <v>43925.96890124137</v>
      </c>
      <c r="E38" s="122">
        <f t="shared" si="6"/>
        <v>97446.5405004526</v>
      </c>
      <c r="F38" s="122">
        <f t="shared" si="5"/>
        <v>141372.50940169385</v>
      </c>
      <c r="G38" s="122">
        <f t="shared" si="3"/>
        <v>6491448.794685758</v>
      </c>
    </row>
    <row r="39" spans="8:8">
      <c r="A39" s="120"/>
      <c r="B39" s="120" t="s">
        <v>81</v>
      </c>
      <c r="C39" s="122">
        <f t="shared" si="4"/>
        <v>6491448.794685758</v>
      </c>
      <c r="D39" s="122">
        <f t="shared" si="0"/>
        <v>43276.32529790505</v>
      </c>
      <c r="E39" s="122">
        <f t="shared" si="6"/>
        <v>98096.1841037889</v>
      </c>
      <c r="F39" s="122">
        <f t="shared" si="5"/>
        <v>141372.50940169385</v>
      </c>
      <c r="G39" s="122">
        <f t="shared" si="3"/>
        <v>6393352.610581971</v>
      </c>
    </row>
    <row r="40" spans="8:8">
      <c r="A40" s="120"/>
      <c r="B40" s="120" t="s">
        <v>82</v>
      </c>
      <c r="C40" s="122">
        <f t="shared" si="4"/>
        <v>6393352.610581971</v>
      </c>
      <c r="D40" s="122">
        <f t="shared" si="0"/>
        <v>42622.350737213135</v>
      </c>
      <c r="E40" s="122">
        <f t="shared" si="6"/>
        <v>98750.1586644809</v>
      </c>
      <c r="F40" s="122">
        <f t="shared" si="5"/>
        <v>141372.50940169385</v>
      </c>
      <c r="G40" s="122">
        <f t="shared" si="3"/>
        <v>6294602.451917489</v>
      </c>
    </row>
    <row r="41" spans="8:8">
      <c r="A41" s="120"/>
      <c r="B41" s="120" t="s">
        <v>83</v>
      </c>
      <c r="C41" s="122">
        <f t="shared" si="4"/>
        <v>6294602.451917489</v>
      </c>
      <c r="D41" s="122">
        <f t="shared" si="0"/>
        <v>41964.016346116594</v>
      </c>
      <c r="E41" s="122">
        <f t="shared" si="6"/>
        <v>99408.49305557739</v>
      </c>
      <c r="F41" s="122">
        <f t="shared" si="5"/>
        <v>141372.50940169385</v>
      </c>
      <c r="G41" s="122">
        <f t="shared" si="3"/>
        <v>6195193.958861913</v>
      </c>
    </row>
    <row r="42" spans="8:8">
      <c r="A42" s="120"/>
      <c r="B42" s="120" t="s">
        <v>84</v>
      </c>
      <c r="C42" s="122">
        <f t="shared" si="4"/>
        <v>6195193.958861913</v>
      </c>
      <c r="D42" s="122">
        <f t="shared" si="7" ref="D42:D73">C42*$D$5/12</f>
        <v>41301.29305907942</v>
      </c>
      <c r="E42" s="122">
        <f t="shared" si="6"/>
        <v>100071.2163426146</v>
      </c>
      <c r="F42" s="122">
        <f t="shared" si="5"/>
        <v>141372.50940169385</v>
      </c>
      <c r="G42" s="122">
        <f t="shared" si="3"/>
        <v>6095122.742519295</v>
      </c>
    </row>
    <row r="43" spans="8:8">
      <c r="A43" s="120"/>
      <c r="B43" s="120" t="s">
        <v>85</v>
      </c>
      <c r="C43" s="122">
        <f t="shared" si="4"/>
        <v>6095122.742519295</v>
      </c>
      <c r="D43" s="122">
        <f t="shared" si="7"/>
        <v>40634.1516167953</v>
      </c>
      <c r="E43" s="122">
        <f t="shared" si="6"/>
        <v>100738.35778489869</v>
      </c>
      <c r="F43" s="122">
        <f t="shared" si="5"/>
        <v>141372.50940169385</v>
      </c>
      <c r="G43" s="122">
        <f t="shared" si="3"/>
        <v>5994384.3847344015</v>
      </c>
    </row>
    <row r="44" spans="8:8">
      <c r="A44" s="120"/>
      <c r="B44" s="120" t="s">
        <v>86</v>
      </c>
      <c r="C44" s="122">
        <f t="shared" si="4"/>
        <v>5994384.3847344015</v>
      </c>
      <c r="D44" s="122">
        <f t="shared" si="7"/>
        <v>39962.56256489601</v>
      </c>
      <c r="E44" s="122">
        <f t="shared" si="6"/>
        <v>101409.946836798</v>
      </c>
      <c r="F44" s="122">
        <f t="shared" si="5"/>
        <v>141372.50940169385</v>
      </c>
      <c r="G44" s="122">
        <f t="shared" si="3"/>
        <v>5892974.437897601</v>
      </c>
    </row>
    <row r="45" spans="8:8">
      <c r="A45" s="120"/>
      <c r="B45" s="120" t="s">
        <v>87</v>
      </c>
      <c r="C45" s="122">
        <f t="shared" si="4"/>
        <v>5892974.437897601</v>
      </c>
      <c r="D45" s="122">
        <f t="shared" si="7"/>
        <v>39286.49625265068</v>
      </c>
      <c r="E45" s="122">
        <f t="shared" si="6"/>
        <v>102086.0131490433</v>
      </c>
      <c r="F45" s="122">
        <f t="shared" si="5"/>
        <v>141372.50940169385</v>
      </c>
      <c r="G45" s="122">
        <f t="shared" si="3"/>
        <v>5790888.424748558</v>
      </c>
      <c r="H45" s="191"/>
      <c r="I45" s="191"/>
    </row>
    <row r="46" spans="8:8">
      <c r="A46" s="120" t="s">
        <v>14</v>
      </c>
      <c r="B46" s="120" t="s">
        <v>88</v>
      </c>
      <c r="C46" s="122">
        <f t="shared" si="4"/>
        <v>5790888.424748558</v>
      </c>
      <c r="D46" s="122">
        <f t="shared" si="7"/>
        <v>38605.92283165705</v>
      </c>
      <c r="E46" s="122">
        <f t="shared" si="6"/>
        <v>102766.58657003689</v>
      </c>
      <c r="F46" s="122">
        <f t="shared" si="5"/>
        <v>141372.50940169385</v>
      </c>
      <c r="G46" s="122">
        <f t="shared" si="3"/>
        <v>5688121.838178524</v>
      </c>
    </row>
    <row r="47" spans="8:8">
      <c r="A47" s="120"/>
      <c r="B47" s="120" t="s">
        <v>89</v>
      </c>
      <c r="C47" s="122">
        <f t="shared" si="4"/>
        <v>5688121.838178524</v>
      </c>
      <c r="D47" s="122">
        <f t="shared" si="7"/>
        <v>37920.812254523495</v>
      </c>
      <c r="E47" s="122">
        <f t="shared" si="6"/>
        <v>103451.69714717049</v>
      </c>
      <c r="F47" s="122">
        <f t="shared" si="5"/>
        <v>141372.50940169385</v>
      </c>
      <c r="G47" s="122">
        <f t="shared" si="3"/>
        <v>5584670.14103135</v>
      </c>
    </row>
    <row r="48" spans="8:8">
      <c r="A48" s="120"/>
      <c r="B48" s="120" t="s">
        <v>90</v>
      </c>
      <c r="C48" s="122">
        <f t="shared" si="4"/>
        <v>5584670.14103135</v>
      </c>
      <c r="D48" s="122">
        <f t="shared" si="7"/>
        <v>37231.13427354233</v>
      </c>
      <c r="E48" s="122">
        <f t="shared" si="6"/>
        <v>104141.3751281517</v>
      </c>
      <c r="F48" s="122">
        <f t="shared" si="5"/>
        <v>141372.50940169385</v>
      </c>
      <c r="G48" s="122">
        <f t="shared" si="3"/>
        <v>5480528.765903198</v>
      </c>
    </row>
    <row r="49" spans="8:8">
      <c r="A49" s="120"/>
      <c r="B49" s="120" t="s">
        <v>91</v>
      </c>
      <c r="C49" s="122">
        <f t="shared" si="4"/>
        <v>5480528.765903198</v>
      </c>
      <c r="D49" s="122">
        <f t="shared" si="7"/>
        <v>36536.858439354655</v>
      </c>
      <c r="E49" s="122">
        <f t="shared" si="6"/>
        <v>104835.6509623393</v>
      </c>
      <c r="F49" s="122">
        <f t="shared" si="5"/>
        <v>141372.50940169385</v>
      </c>
      <c r="G49" s="122">
        <f t="shared" si="3"/>
        <v>5375693.114940861</v>
      </c>
    </row>
    <row r="50" spans="8:8">
      <c r="A50" s="120"/>
      <c r="B50" s="120" t="s">
        <v>92</v>
      </c>
      <c r="C50" s="122">
        <f t="shared" si="4"/>
        <v>5375693.114940861</v>
      </c>
      <c r="D50" s="122">
        <f t="shared" si="7"/>
        <v>35837.95409960574</v>
      </c>
      <c r="E50" s="122">
        <f t="shared" si="6"/>
        <v>105534.5553020883</v>
      </c>
      <c r="F50" s="122">
        <f t="shared" si="5"/>
        <v>141372.50940169385</v>
      </c>
      <c r="G50" s="122">
        <f t="shared" si="3"/>
        <v>5270158.559638772</v>
      </c>
    </row>
    <row r="51" spans="8:8">
      <c r="A51" s="120"/>
      <c r="B51" s="120" t="s">
        <v>93</v>
      </c>
      <c r="C51" s="122">
        <f t="shared" si="4"/>
        <v>5270158.559638772</v>
      </c>
      <c r="D51" s="122">
        <f t="shared" si="7"/>
        <v>35134.390397591815</v>
      </c>
      <c r="E51" s="122">
        <f t="shared" si="6"/>
        <v>106238.11900410219</v>
      </c>
      <c r="F51" s="122">
        <f t="shared" si="5"/>
        <v>141372.50940169385</v>
      </c>
      <c r="G51" s="122">
        <f t="shared" si="3"/>
        <v>5163920.440634668</v>
      </c>
    </row>
    <row r="52" spans="8:8">
      <c r="A52" s="120"/>
      <c r="B52" s="120" t="s">
        <v>94</v>
      </c>
      <c r="C52" s="122">
        <f t="shared" si="4"/>
        <v>5163920.440634668</v>
      </c>
      <c r="D52" s="122">
        <f t="shared" si="7"/>
        <v>34426.13627089779</v>
      </c>
      <c r="E52" s="122">
        <f t="shared" si="6"/>
        <v>106946.3731307962</v>
      </c>
      <c r="F52" s="122">
        <f t="shared" si="5"/>
        <v>141372.50940169385</v>
      </c>
      <c r="G52" s="122">
        <f t="shared" si="3"/>
        <v>5056974.067503874</v>
      </c>
    </row>
    <row r="53" spans="8:8">
      <c r="A53" s="120"/>
      <c r="B53" s="120" t="s">
        <v>95</v>
      </c>
      <c r="C53" s="122">
        <f t="shared" si="4"/>
        <v>5056974.067503874</v>
      </c>
      <c r="D53" s="122">
        <f t="shared" si="7"/>
        <v>33713.16045002583</v>
      </c>
      <c r="E53" s="122">
        <f t="shared" si="6"/>
        <v>107659.34895166819</v>
      </c>
      <c r="F53" s="122">
        <f t="shared" si="5"/>
        <v>141372.50940169385</v>
      </c>
      <c r="G53" s="122">
        <f t="shared" si="3"/>
        <v>4949314.718552203</v>
      </c>
    </row>
    <row r="54" spans="8:8">
      <c r="A54" s="120"/>
      <c r="B54" s="120" t="s">
        <v>96</v>
      </c>
      <c r="C54" s="122">
        <f t="shared" si="4"/>
        <v>4949314.718552203</v>
      </c>
      <c r="D54" s="122">
        <f t="shared" si="7"/>
        <v>32995.43145701469</v>
      </c>
      <c r="E54" s="122">
        <f t="shared" si="6"/>
        <v>108377.0779446793</v>
      </c>
      <c r="F54" s="122">
        <f t="shared" si="5"/>
        <v>141372.50940169385</v>
      </c>
      <c r="G54" s="122">
        <f t="shared" si="3"/>
        <v>4840937.640607521</v>
      </c>
    </row>
    <row r="55" spans="8:8">
      <c r="A55" s="120"/>
      <c r="B55" s="120" t="s">
        <v>97</v>
      </c>
      <c r="C55" s="122">
        <f t="shared" si="4"/>
        <v>4840937.640607521</v>
      </c>
      <c r="D55" s="122">
        <f t="shared" si="7"/>
        <v>32272.917604050137</v>
      </c>
      <c r="E55" s="122">
        <f t="shared" si="6"/>
        <v>109099.5917976439</v>
      </c>
      <c r="F55" s="122">
        <f t="shared" si="5"/>
        <v>141372.50940169385</v>
      </c>
      <c r="G55" s="122">
        <f t="shared" si="3"/>
        <v>4731838.048809876</v>
      </c>
    </row>
    <row r="56" spans="8:8">
      <c r="A56" s="120"/>
      <c r="B56" s="120" t="s">
        <v>98</v>
      </c>
      <c r="C56" s="122">
        <f t="shared" si="4"/>
        <v>4731838.048809876</v>
      </c>
      <c r="D56" s="122">
        <f t="shared" si="7"/>
        <v>31545.58699206584</v>
      </c>
      <c r="E56" s="122">
        <f t="shared" si="6"/>
        <v>109826.9224096282</v>
      </c>
      <c r="F56" s="122">
        <f t="shared" si="5"/>
        <v>141372.50940169385</v>
      </c>
      <c r="G56" s="122">
        <f t="shared" si="3"/>
        <v>4622011.126400253</v>
      </c>
    </row>
    <row r="57" spans="8:8">
      <c r="A57" s="120"/>
      <c r="B57" s="120" t="s">
        <v>99</v>
      </c>
      <c r="C57" s="122">
        <f t="shared" si="4"/>
        <v>4622011.126400253</v>
      </c>
      <c r="D57" s="122">
        <f t="shared" si="7"/>
        <v>30813.407509335022</v>
      </c>
      <c r="E57" s="122">
        <f t="shared" si="6"/>
        <v>110559.101892359</v>
      </c>
      <c r="F57" s="122">
        <f t="shared" si="5"/>
        <v>141372.50940169385</v>
      </c>
      <c r="G57" s="122">
        <f t="shared" si="3"/>
        <v>4511452.024507891</v>
      </c>
      <c r="H57" s="191"/>
      <c r="I57" s="191"/>
    </row>
    <row r="58" spans="8:8">
      <c r="A58" s="120" t="s">
        <v>15</v>
      </c>
      <c r="B58" s="120" t="s">
        <v>100</v>
      </c>
      <c r="C58" s="122">
        <f t="shared" si="4"/>
        <v>4511452.024507891</v>
      </c>
      <c r="D58" s="122">
        <f t="shared" si="7"/>
        <v>30076.34683005261</v>
      </c>
      <c r="E58" s="122">
        <f t="shared" si="6"/>
        <v>111296.1625716414</v>
      </c>
      <c r="F58" s="122">
        <f t="shared" si="5"/>
        <v>141372.50940169385</v>
      </c>
      <c r="G58" s="122">
        <f t="shared" si="3"/>
        <v>4400155.86193625</v>
      </c>
    </row>
    <row r="59" spans="8:8">
      <c r="A59" s="120"/>
      <c r="B59" s="120" t="s">
        <v>101</v>
      </c>
      <c r="C59" s="122">
        <f t="shared" si="4"/>
        <v>4400155.86193625</v>
      </c>
      <c r="D59" s="122">
        <f t="shared" si="7"/>
        <v>29334.37241290833</v>
      </c>
      <c r="E59" s="122">
        <f t="shared" si="6"/>
        <v>112038.1369887857</v>
      </c>
      <c r="F59" s="122">
        <f t="shared" si="5"/>
        <v>141372.50940169385</v>
      </c>
      <c r="G59" s="122">
        <f t="shared" si="3"/>
        <v>4288117.724947464</v>
      </c>
    </row>
    <row r="60" spans="8:8">
      <c r="A60" s="120"/>
      <c r="B60" s="120" t="s">
        <v>102</v>
      </c>
      <c r="C60" s="122">
        <f t="shared" si="4"/>
        <v>4288117.724947464</v>
      </c>
      <c r="D60" s="122">
        <f t="shared" si="7"/>
        <v>28587.45149964976</v>
      </c>
      <c r="E60" s="122">
        <f t="shared" si="6"/>
        <v>112785.0579020442</v>
      </c>
      <c r="F60" s="122">
        <f t="shared" si="5"/>
        <v>141372.50940169385</v>
      </c>
      <c r="G60" s="122">
        <f t="shared" si="3"/>
        <v>4175332.667045416</v>
      </c>
    </row>
    <row r="61" spans="8:8">
      <c r="A61" s="120"/>
      <c r="B61" s="120" t="s">
        <v>103</v>
      </c>
      <c r="C61" s="122">
        <f t="shared" si="4"/>
        <v>4175332.667045416</v>
      </c>
      <c r="D61" s="122">
        <f t="shared" si="7"/>
        <v>27835.551113636106</v>
      </c>
      <c r="E61" s="122">
        <f t="shared" si="6"/>
        <v>113536.9582880579</v>
      </c>
      <c r="F61" s="122">
        <f t="shared" si="5"/>
        <v>141372.50940169385</v>
      </c>
      <c r="G61" s="122">
        <f t="shared" si="3"/>
        <v>4061795.708757362</v>
      </c>
    </row>
    <row r="62" spans="8:8">
      <c r="A62" s="120"/>
      <c r="B62" s="120" t="s">
        <v>104</v>
      </c>
      <c r="C62" s="122">
        <f t="shared" si="4"/>
        <v>4061795.708757362</v>
      </c>
      <c r="D62" s="122">
        <f t="shared" si="7"/>
        <v>27078.63805838241</v>
      </c>
      <c r="E62" s="122">
        <f t="shared" si="6"/>
        <v>114293.87134331159</v>
      </c>
      <c r="F62" s="122">
        <f t="shared" si="5"/>
        <v>141372.50940169385</v>
      </c>
      <c r="G62" s="122">
        <f t="shared" si="3"/>
        <v>3947501.837414048</v>
      </c>
    </row>
    <row r="63" spans="8:8">
      <c r="A63" s="120"/>
      <c r="B63" s="120" t="s">
        <v>105</v>
      </c>
      <c r="C63" s="122">
        <f t="shared" si="4"/>
        <v>3947501.837414048</v>
      </c>
      <c r="D63" s="122">
        <f t="shared" si="7"/>
        <v>26316.678916093657</v>
      </c>
      <c r="E63" s="122">
        <f t="shared" si="6"/>
        <v>115055.8304856003</v>
      </c>
      <c r="F63" s="122">
        <f t="shared" si="5"/>
        <v>141372.50940169385</v>
      </c>
      <c r="G63" s="122">
        <f t="shared" si="3"/>
        <v>3832446.00692845</v>
      </c>
    </row>
    <row r="64" spans="8:8">
      <c r="A64" s="120"/>
      <c r="B64" s="120" t="s">
        <v>106</v>
      </c>
      <c r="C64" s="122">
        <f t="shared" si="4"/>
        <v>3832446.00692845</v>
      </c>
      <c r="D64" s="122">
        <f t="shared" si="7"/>
        <v>25549.640046189666</v>
      </c>
      <c r="E64" s="122">
        <f t="shared" si="6"/>
        <v>115822.8693555043</v>
      </c>
      <c r="F64" s="122">
        <f t="shared" si="5"/>
        <v>141372.50940169385</v>
      </c>
      <c r="G64" s="122">
        <f t="shared" si="3"/>
        <v>3716623.137572946</v>
      </c>
    </row>
    <row r="65" spans="8:8">
      <c r="A65" s="120"/>
      <c r="B65" s="120" t="s">
        <v>107</v>
      </c>
      <c r="C65" s="122">
        <f t="shared" si="4"/>
        <v>3716623.137572946</v>
      </c>
      <c r="D65" s="122">
        <f t="shared" si="7"/>
        <v>24777.487583819642</v>
      </c>
      <c r="E65" s="122">
        <f t="shared" si="6"/>
        <v>116595.0218178744</v>
      </c>
      <c r="F65" s="122">
        <f t="shared" si="5"/>
        <v>141372.50940169385</v>
      </c>
      <c r="G65" s="122">
        <f t="shared" si="3"/>
        <v>3600028.115755076</v>
      </c>
    </row>
    <row r="66" spans="8:8">
      <c r="A66" s="120"/>
      <c r="B66" s="120" t="s">
        <v>108</v>
      </c>
      <c r="C66" s="122">
        <f t="shared" si="4"/>
        <v>3600028.115755076</v>
      </c>
      <c r="D66" s="122">
        <f t="shared" si="7"/>
        <v>24000.18743836717</v>
      </c>
      <c r="E66" s="122">
        <f t="shared" si="6"/>
        <v>117372.3219633268</v>
      </c>
      <c r="F66" s="122">
        <f t="shared" si="5"/>
        <v>141372.50940169385</v>
      </c>
      <c r="G66" s="122">
        <f t="shared" si="3"/>
        <v>3482655.793791753</v>
      </c>
    </row>
    <row r="67" spans="8:8">
      <c r="A67" s="120"/>
      <c r="B67" s="120" t="s">
        <v>109</v>
      </c>
      <c r="C67" s="122">
        <f t="shared" si="4"/>
        <v>3482655.793791753</v>
      </c>
      <c r="D67" s="122">
        <f t="shared" si="7"/>
        <v>23217.705291945018</v>
      </c>
      <c r="E67" s="122">
        <f t="shared" si="6"/>
        <v>118154.804109749</v>
      </c>
      <c r="F67" s="122">
        <f t="shared" si="5"/>
        <v>141372.50940169385</v>
      </c>
      <c r="G67" s="122">
        <f t="shared" si="3"/>
        <v>3364500.989682001</v>
      </c>
    </row>
    <row r="68" spans="8:8">
      <c r="A68" s="120"/>
      <c r="B68" s="120" t="s">
        <v>110</v>
      </c>
      <c r="C68" s="122">
        <f t="shared" si="4"/>
        <v>3364500.989682001</v>
      </c>
      <c r="D68" s="122">
        <f t="shared" si="7"/>
        <v>22430.00659788001</v>
      </c>
      <c r="E68" s="122">
        <f t="shared" si="6"/>
        <v>118942.502803814</v>
      </c>
      <c r="F68" s="122">
        <f t="shared" si="5"/>
        <v>141372.50940169385</v>
      </c>
      <c r="G68" s="122">
        <f t="shared" si="3"/>
        <v>3245558.486878186</v>
      </c>
    </row>
    <row r="69" spans="8:8">
      <c r="A69" s="120"/>
      <c r="B69" s="120" t="s">
        <v>111</v>
      </c>
      <c r="C69" s="122">
        <f t="shared" si="4"/>
        <v>3245558.486878186</v>
      </c>
      <c r="D69" s="122">
        <f t="shared" si="7"/>
        <v>21637.05657918791</v>
      </c>
      <c r="E69" s="122">
        <f t="shared" si="6"/>
        <v>119735.4528225061</v>
      </c>
      <c r="F69" s="122">
        <f t="shared" si="5"/>
        <v>141372.50940169385</v>
      </c>
      <c r="G69" s="122">
        <f t="shared" si="3"/>
        <v>3125823.034055684</v>
      </c>
      <c r="H69" s="191"/>
      <c r="I69" s="191"/>
    </row>
    <row r="70" spans="8:8">
      <c r="A70" s="120" t="s">
        <v>16</v>
      </c>
      <c r="B70" s="120" t="s">
        <v>112</v>
      </c>
      <c r="C70" s="122">
        <f t="shared" si="4"/>
        <v>3125823.034055684</v>
      </c>
      <c r="D70" s="122">
        <f t="shared" si="7"/>
        <v>20838.820227037893</v>
      </c>
      <c r="E70" s="122">
        <f t="shared" si="6"/>
        <v>120533.6891746561</v>
      </c>
      <c r="F70" s="122">
        <f t="shared" si="5"/>
        <v>141372.50940169385</v>
      </c>
      <c r="G70" s="122">
        <f t="shared" si="3"/>
        <v>3005289.344881024</v>
      </c>
    </row>
    <row r="71" spans="8:8">
      <c r="A71" s="120"/>
      <c r="B71" s="120" t="s">
        <v>113</v>
      </c>
      <c r="C71" s="122">
        <f t="shared" si="4"/>
        <v>3005289.344881024</v>
      </c>
      <c r="D71" s="122">
        <f t="shared" si="7"/>
        <v>20035.262299206828</v>
      </c>
      <c r="E71" s="122">
        <f t="shared" si="6"/>
        <v>121337.24710248719</v>
      </c>
      <c r="F71" s="122">
        <f t="shared" si="5"/>
        <v>141372.50940169385</v>
      </c>
      <c r="G71" s="122">
        <f t="shared" si="3"/>
        <v>2883952.097778533</v>
      </c>
    </row>
    <row r="72" spans="8:8">
      <c r="A72" s="120"/>
      <c r="B72" s="120" t="s">
        <v>114</v>
      </c>
      <c r="C72" s="122">
        <f t="shared" si="4"/>
        <v>2883952.097778533</v>
      </c>
      <c r="D72" s="122">
        <f t="shared" si="7"/>
        <v>19226.347318523553</v>
      </c>
      <c r="E72" s="122">
        <f t="shared" si="6"/>
        <v>122146.1620831704</v>
      </c>
      <c r="F72" s="122">
        <f t="shared" si="5"/>
        <v>141372.50940169385</v>
      </c>
      <c r="G72" s="122">
        <f t="shared" si="3"/>
        <v>2761805.93569536</v>
      </c>
    </row>
    <row r="73" spans="8:8">
      <c r="A73" s="120"/>
      <c r="B73" s="120" t="s">
        <v>115</v>
      </c>
      <c r="C73" s="122">
        <f t="shared" si="4"/>
        <v>2761805.93569536</v>
      </c>
      <c r="D73" s="122">
        <f t="shared" si="7"/>
        <v>18412.0395713024</v>
      </c>
      <c r="E73" s="122">
        <f t="shared" si="6"/>
        <v>122960.4698303916</v>
      </c>
      <c r="F73" s="122">
        <f t="shared" si="5"/>
        <v>141372.50940169385</v>
      </c>
      <c r="G73" s="122">
        <f t="shared" si="3"/>
        <v>2638845.465864968</v>
      </c>
    </row>
    <row r="74" spans="8:8">
      <c r="A74" s="120"/>
      <c r="B74" s="120" t="s">
        <v>116</v>
      </c>
      <c r="C74" s="122">
        <f t="shared" si="4"/>
        <v>2638845.465864968</v>
      </c>
      <c r="D74" s="122">
        <f t="shared" si="8" ref="D74:D93">C74*$D$5/12</f>
        <v>17592.303105766452</v>
      </c>
      <c r="E74" s="122">
        <f t="shared" si="6"/>
        <v>123780.20629592749</v>
      </c>
      <c r="F74" s="122">
        <f t="shared" si="5"/>
        <v>141372.50940169385</v>
      </c>
      <c r="G74" s="122">
        <f t="shared" si="3"/>
        <v>2515065.259569043</v>
      </c>
    </row>
    <row r="75" spans="8:8">
      <c r="A75" s="120"/>
      <c r="B75" s="120" t="s">
        <v>117</v>
      </c>
      <c r="C75" s="122">
        <f t="shared" si="4"/>
        <v>2515065.259569043</v>
      </c>
      <c r="D75" s="122">
        <f t="shared" si="8"/>
        <v>16767.101730460286</v>
      </c>
      <c r="E75" s="122">
        <f t="shared" si="6"/>
        <v>124605.4076712337</v>
      </c>
      <c r="F75" s="122">
        <f t="shared" si="9" ref="F75:F93">$D$8</f>
        <v>141372.50940169385</v>
      </c>
      <c r="G75" s="122">
        <f t="shared" si="10" ref="G75:G93">C75-E75</f>
        <v>2390459.851897806</v>
      </c>
    </row>
    <row r="76" spans="8:8">
      <c r="A76" s="120"/>
      <c r="B76" s="120" t="s">
        <v>118</v>
      </c>
      <c r="C76" s="122">
        <f t="shared" si="11" ref="C76:C93">G75</f>
        <v>2390459.851897806</v>
      </c>
      <c r="D76" s="122">
        <f t="shared" si="8"/>
        <v>15936.399012652038</v>
      </c>
      <c r="E76" s="122">
        <f t="shared" si="6"/>
        <v>125436.110389042</v>
      </c>
      <c r="F76" s="122">
        <f t="shared" si="9"/>
        <v>141372.50940169385</v>
      </c>
      <c r="G76" s="122">
        <f t="shared" si="10"/>
        <v>2265023.741508768</v>
      </c>
    </row>
    <row r="77" spans="8:8">
      <c r="A77" s="120"/>
      <c r="B77" s="120" t="s">
        <v>119</v>
      </c>
      <c r="C77" s="122">
        <f t="shared" si="11"/>
        <v>2265023.741508768</v>
      </c>
      <c r="D77" s="122">
        <f t="shared" si="8"/>
        <v>15100.158276725118</v>
      </c>
      <c r="E77" s="122">
        <f t="shared" si="6"/>
        <v>126272.3511249689</v>
      </c>
      <c r="F77" s="122">
        <f t="shared" si="9"/>
        <v>141372.50940169385</v>
      </c>
      <c r="G77" s="122">
        <f t="shared" si="10"/>
        <v>2138751.390383801</v>
      </c>
    </row>
    <row r="78" spans="8:8">
      <c r="A78" s="120"/>
      <c r="B78" s="120" t="s">
        <v>120</v>
      </c>
      <c r="C78" s="122">
        <f t="shared" si="11"/>
        <v>2138751.390383801</v>
      </c>
      <c r="D78" s="122">
        <f t="shared" si="8"/>
        <v>14258.342602558674</v>
      </c>
      <c r="E78" s="122">
        <f t="shared" si="6"/>
        <v>127114.1667991353</v>
      </c>
      <c r="F78" s="122">
        <f t="shared" si="9"/>
        <v>141372.50940169385</v>
      </c>
      <c r="G78" s="122">
        <f t="shared" si="10"/>
        <v>2011637.223584665</v>
      </c>
    </row>
    <row r="79" spans="8:8">
      <c r="A79" s="120"/>
      <c r="B79" s="120" t="s">
        <v>121</v>
      </c>
      <c r="C79" s="122">
        <f t="shared" si="11"/>
        <v>2011637.223584665</v>
      </c>
      <c r="D79" s="122">
        <f t="shared" si="8"/>
        <v>13410.914823897767</v>
      </c>
      <c r="E79" s="122">
        <f t="shared" si="6"/>
        <v>127961.5945777962</v>
      </c>
      <c r="F79" s="122">
        <f t="shared" si="9"/>
        <v>141372.50940169385</v>
      </c>
      <c r="G79" s="122">
        <f t="shared" si="10"/>
        <v>1883675.629006874</v>
      </c>
    </row>
    <row r="80" spans="8:8">
      <c r="A80" s="120"/>
      <c r="B80" s="120" t="s">
        <v>122</v>
      </c>
      <c r="C80" s="122">
        <f t="shared" si="11"/>
        <v>1883675.629006874</v>
      </c>
      <c r="D80" s="122">
        <f t="shared" si="8"/>
        <v>12557.837526712494</v>
      </c>
      <c r="E80" s="122">
        <f t="shared" si="6"/>
        <v>128814.6718749815</v>
      </c>
      <c r="F80" s="122">
        <f t="shared" si="9"/>
        <v>141372.50940169385</v>
      </c>
      <c r="G80" s="122">
        <f t="shared" si="10"/>
        <v>1754860.957131888</v>
      </c>
    </row>
    <row r="81" spans="8:8">
      <c r="A81" s="120"/>
      <c r="B81" s="120" t="s">
        <v>123</v>
      </c>
      <c r="C81" s="122">
        <f t="shared" si="11"/>
        <v>1754860.957131888</v>
      </c>
      <c r="D81" s="122">
        <f t="shared" si="8"/>
        <v>11699.07304754592</v>
      </c>
      <c r="E81" s="122">
        <f t="shared" si="12" ref="E81:E93">F81-D81</f>
        <v>129673.4363541481</v>
      </c>
      <c r="F81" s="122">
        <f t="shared" si="9"/>
        <v>141372.50940169385</v>
      </c>
      <c r="G81" s="122">
        <f t="shared" si="10"/>
        <v>1625187.5207777421</v>
      </c>
      <c r="H81" s="191"/>
      <c r="I81" s="191"/>
    </row>
    <row r="82" spans="8:8">
      <c r="A82" s="120" t="s">
        <v>281</v>
      </c>
      <c r="B82" s="120" t="s">
        <v>216</v>
      </c>
      <c r="C82" s="122">
        <f t="shared" si="11"/>
        <v>1625187.5207777421</v>
      </c>
      <c r="D82" s="122">
        <f t="shared" si="8"/>
        <v>10834.583471851614</v>
      </c>
      <c r="E82" s="122">
        <f t="shared" si="12"/>
        <v>130537.9259298424</v>
      </c>
      <c r="F82" s="122">
        <f t="shared" si="9"/>
        <v>141372.50940169385</v>
      </c>
      <c r="G82" s="122">
        <f t="shared" si="10"/>
        <v>1494649.594847898</v>
      </c>
    </row>
    <row r="83" spans="8:8">
      <c r="A83" s="120"/>
      <c r="B83" s="120" t="s">
        <v>217</v>
      </c>
      <c r="C83" s="122">
        <f t="shared" si="11"/>
        <v>1494649.594847898</v>
      </c>
      <c r="D83" s="122">
        <f t="shared" si="8"/>
        <v>9964.33063231932</v>
      </c>
      <c r="E83" s="122">
        <f t="shared" si="12"/>
        <v>131408.17876937467</v>
      </c>
      <c r="F83" s="122">
        <f t="shared" si="9"/>
        <v>141372.50940169385</v>
      </c>
      <c r="G83" s="122">
        <f t="shared" si="10"/>
        <v>1363241.4160785251</v>
      </c>
    </row>
    <row r="84" spans="8:8">
      <c r="A84" s="120"/>
      <c r="B84" s="120" t="s">
        <v>218</v>
      </c>
      <c r="C84" s="122">
        <f t="shared" si="11"/>
        <v>1363241.4160785251</v>
      </c>
      <c r="D84" s="122">
        <f t="shared" si="8"/>
        <v>9088.276107190168</v>
      </c>
      <c r="E84" s="122">
        <f t="shared" si="12"/>
        <v>132284.23329450382</v>
      </c>
      <c r="F84" s="122">
        <f t="shared" si="9"/>
        <v>141372.50940169385</v>
      </c>
      <c r="G84" s="122">
        <f t="shared" si="10"/>
        <v>1230957.182784026</v>
      </c>
    </row>
    <row r="85" spans="8:8">
      <c r="A85" s="120"/>
      <c r="B85" s="120" t="s">
        <v>219</v>
      </c>
      <c r="C85" s="122">
        <f t="shared" si="11"/>
        <v>1230957.182784026</v>
      </c>
      <c r="D85" s="122">
        <f t="shared" si="8"/>
        <v>8206.381218560173</v>
      </c>
      <c r="E85" s="122">
        <f t="shared" si="12"/>
        <v>133166.12818313384</v>
      </c>
      <c r="F85" s="122">
        <f t="shared" si="9"/>
        <v>141372.50940169385</v>
      </c>
      <c r="G85" s="122">
        <f t="shared" si="10"/>
        <v>1097791.054600896</v>
      </c>
    </row>
    <row r="86" spans="8:8">
      <c r="A86" s="120"/>
      <c r="B86" s="120" t="s">
        <v>220</v>
      </c>
      <c r="C86" s="122">
        <f t="shared" si="11"/>
        <v>1097791.054600896</v>
      </c>
      <c r="D86" s="122">
        <f t="shared" si="8"/>
        <v>7318.607030672641</v>
      </c>
      <c r="E86" s="122">
        <f t="shared" si="12"/>
        <v>134053.90237102137</v>
      </c>
      <c r="F86" s="122">
        <f t="shared" si="9"/>
        <v>141372.50940169385</v>
      </c>
      <c r="G86" s="122">
        <f t="shared" si="10"/>
        <v>963737.152229879</v>
      </c>
    </row>
    <row r="87" spans="8:8">
      <c r="A87" s="120"/>
      <c r="B87" s="120" t="s">
        <v>221</v>
      </c>
      <c r="C87" s="122">
        <f t="shared" si="11"/>
        <v>963737.152229879</v>
      </c>
      <c r="D87" s="122">
        <f t="shared" si="8"/>
        <v>6424.914348199193</v>
      </c>
      <c r="E87" s="122">
        <f t="shared" si="12"/>
        <v>134947.59505349482</v>
      </c>
      <c r="F87" s="122">
        <f t="shared" si="9"/>
        <v>141372.50940169385</v>
      </c>
      <c r="G87" s="122">
        <f t="shared" si="10"/>
        <v>828789.557176384</v>
      </c>
    </row>
    <row r="88" spans="8:8">
      <c r="A88" s="120"/>
      <c r="B88" s="120" t="s">
        <v>222</v>
      </c>
      <c r="C88" s="122">
        <f t="shared" si="11"/>
        <v>828789.557176384</v>
      </c>
      <c r="D88" s="122">
        <f t="shared" si="8"/>
        <v>5525.263714509227</v>
      </c>
      <c r="E88" s="122">
        <f t="shared" si="12"/>
        <v>135847.24568718477</v>
      </c>
      <c r="F88" s="122">
        <f t="shared" si="9"/>
        <v>141372.50940169385</v>
      </c>
      <c r="G88" s="122">
        <f t="shared" si="10"/>
        <v>692942.311489199</v>
      </c>
    </row>
    <row r="89" spans="8:8">
      <c r="A89" s="120"/>
      <c r="B89" s="120" t="s">
        <v>223</v>
      </c>
      <c r="C89" s="122">
        <f t="shared" si="11"/>
        <v>692942.311489199</v>
      </c>
      <c r="D89" s="122">
        <f t="shared" si="8"/>
        <v>4619.615409927994</v>
      </c>
      <c r="E89" s="122">
        <f t="shared" si="12"/>
        <v>136752.893991766</v>
      </c>
      <c r="F89" s="122">
        <f t="shared" si="9"/>
        <v>141372.50940169385</v>
      </c>
      <c r="G89" s="122">
        <f t="shared" si="10"/>
        <v>556189.417497433</v>
      </c>
    </row>
    <row r="90" spans="8:8">
      <c r="A90" s="120"/>
      <c r="B90" s="120" t="s">
        <v>224</v>
      </c>
      <c r="C90" s="122">
        <f t="shared" si="11"/>
        <v>556189.417497433</v>
      </c>
      <c r="D90" s="122">
        <f t="shared" si="8"/>
        <v>3707.929449982887</v>
      </c>
      <c r="E90" s="122">
        <f t="shared" si="12"/>
        <v>137664.57995171112</v>
      </c>
      <c r="F90" s="122">
        <f t="shared" si="9"/>
        <v>141372.50940169385</v>
      </c>
      <c r="G90" s="122">
        <f t="shared" si="10"/>
        <v>418524.837545722</v>
      </c>
    </row>
    <row r="91" spans="8:8">
      <c r="A91" s="120"/>
      <c r="B91" s="120" t="s">
        <v>225</v>
      </c>
      <c r="C91" s="122">
        <f t="shared" si="11"/>
        <v>418524.837545722</v>
      </c>
      <c r="D91" s="122">
        <f t="shared" si="8"/>
        <v>2790.165583638147</v>
      </c>
      <c r="E91" s="122">
        <f t="shared" si="12"/>
        <v>138582.34381805584</v>
      </c>
      <c r="F91" s="122">
        <f t="shared" si="9"/>
        <v>141372.50940169385</v>
      </c>
      <c r="G91" s="122">
        <f t="shared" si="10"/>
        <v>279942.49372766603</v>
      </c>
    </row>
    <row r="92" spans="8:8">
      <c r="A92" s="120"/>
      <c r="B92" s="120" t="s">
        <v>226</v>
      </c>
      <c r="C92" s="122">
        <f t="shared" si="11"/>
        <v>279942.49372766603</v>
      </c>
      <c r="D92" s="122">
        <f t="shared" si="8"/>
        <v>1866.2832915177735</v>
      </c>
      <c r="E92" s="122">
        <f t="shared" si="12"/>
        <v>139506.22611017624</v>
      </c>
      <c r="F92" s="122">
        <f t="shared" si="9"/>
        <v>141372.50940169385</v>
      </c>
      <c r="G92" s="122">
        <f t="shared" si="10"/>
        <v>140436.26761748997</v>
      </c>
    </row>
    <row r="93" spans="8:8">
      <c r="A93" s="120"/>
      <c r="B93" s="120" t="s">
        <v>227</v>
      </c>
      <c r="C93" s="122">
        <f t="shared" si="11"/>
        <v>140436.26761748997</v>
      </c>
      <c r="D93" s="122">
        <f t="shared" si="8"/>
        <v>936.2417841165998</v>
      </c>
      <c r="E93" s="122">
        <f t="shared" si="12"/>
        <v>140436.2676175774</v>
      </c>
      <c r="F93" s="122">
        <f t="shared" si="9"/>
        <v>141372.50940169385</v>
      </c>
      <c r="G93" s="122">
        <f t="shared" si="10"/>
        <v>-8.699134923517704E-8</v>
      </c>
    </row>
    <row r="94" spans="8:8">
      <c r="A94" s="115"/>
      <c r="B94" s="115"/>
      <c r="C94" s="115"/>
      <c r="D94" s="192">
        <f>SUM(D10:D93)</f>
        <v>2793354.325332016</v>
      </c>
      <c r="E94" s="192">
        <f>SUM(E10:E93)</f>
        <v>8576772.300000114</v>
      </c>
      <c r="F94" s="115"/>
      <c r="G94" s="115"/>
    </row>
    <row r="95" spans="8:8" ht="40.35" customHeight="1">
      <c r="A95" s="193" t="s">
        <v>427</v>
      </c>
      <c r="B95" s="193"/>
      <c r="C95" s="193"/>
      <c r="D95" s="193"/>
      <c r="E95" s="193"/>
      <c r="F95" s="193"/>
      <c r="G95" s="193"/>
      <c r="H95" s="193"/>
    </row>
    <row r="96" spans="8:8">
      <c r="A96" t="s">
        <v>553</v>
      </c>
    </row>
    <row r="97" spans="8:8">
      <c r="A97">
        <v>1.0</v>
      </c>
      <c r="B97" t="s">
        <v>554</v>
      </c>
    </row>
    <row r="98" spans="8:8">
      <c r="A98">
        <v>2.0</v>
      </c>
      <c r="B98" t="s">
        <v>555</v>
      </c>
    </row>
  </sheetData>
  <mergeCells count="2">
    <mergeCell ref="A2:G2"/>
    <mergeCell ref="A95:H95"/>
  </mergeCells>
  <pageMargins left="0.7" right="0.7" top="0.75" bottom="0.75" header="0.3" footer="0.3"/>
  <pageSetup paperSize="9" scale="59"/>
</worksheet>
</file>

<file path=xl/worksheets/sheet6.xml><?xml version="1.0" encoding="utf-8"?>
<worksheet xmlns:r="http://schemas.openxmlformats.org/officeDocument/2006/relationships" xmlns="http://schemas.openxmlformats.org/spreadsheetml/2006/main">
  <dimension ref="A1:W63"/>
  <sheetViews>
    <sheetView workbookViewId="0" topLeftCell="A37" zoomScale="70">
      <selection activeCell="F7" sqref="F7"/>
    </sheetView>
  </sheetViews>
  <sheetFormatPr defaultRowHeight="15.0" defaultColWidth="10"/>
  <cols>
    <col min="2" max="2" customWidth="1" bestFit="1" width="7.5703125" style="0"/>
    <col min="3" max="3" customWidth="1" width="30.570312" style="0"/>
    <col min="4" max="4" customWidth="1" bestFit="1" width="16.855469" style="0"/>
    <col min="5" max="5" customWidth="1" width="14.855469" style="0"/>
    <col min="6" max="6" customWidth="1" bestFit="1" width="16.0" style="0"/>
    <col min="7" max="7" customWidth="1" bestFit="1" width="20.425781" style="0"/>
    <col min="8" max="8" customWidth="1" bestFit="1" width="23.140625" style="0"/>
    <col min="9" max="9" customWidth="1" bestFit="1" width="26.855469" style="0"/>
    <col min="10" max="10" customWidth="1" bestFit="1" width="29.425781" style="0"/>
    <col min="11" max="11" customWidth="1" bestFit="1" width="32.140625" style="0"/>
    <col min="14" max="14" hidden="1" customWidth="1" width="24.0" style="0"/>
    <col min="15" max="15" hidden="1" customWidth="1" width="11.855469" style="0"/>
    <col min="16" max="16" hidden="1" customWidth="1" width="9.5703125" style="0"/>
    <col min="17" max="17" hidden="1" customWidth="1" width="10.855469" style="0"/>
    <col min="18" max="18" hidden="1" customWidth="1" width="11.140625" style="0"/>
    <col min="19" max="20" hidden="1" customWidth="1" width="0.0" style="0"/>
    <col min="21" max="21" hidden="1" customWidth="1" width="24.0" style="0"/>
    <col min="22" max="22" hidden="1" customWidth="1" width="12.5703125" style="0"/>
    <col min="23" max="23" hidden="1" customWidth="1" width="0.0" style="0"/>
  </cols>
  <sheetData>
    <row r="2" spans="8:8" ht="18.75">
      <c r="C2" s="30" t="s">
        <v>578</v>
      </c>
      <c r="D2" s="30"/>
      <c r="E2" s="30"/>
      <c r="F2" s="30"/>
      <c r="G2" s="30"/>
      <c r="H2" s="30"/>
      <c r="I2" s="30"/>
      <c r="J2" s="30"/>
      <c r="K2" s="30"/>
      <c r="L2" s="194"/>
    </row>
    <row r="4" spans="8:8">
      <c r="C4" s="195" t="s">
        <v>0</v>
      </c>
      <c r="D4" s="195"/>
      <c r="E4" s="196" t="s">
        <v>2</v>
      </c>
      <c r="F4" s="196" t="s">
        <v>3</v>
      </c>
      <c r="G4" s="196" t="s">
        <v>4</v>
      </c>
      <c r="H4" s="196" t="s">
        <v>5</v>
      </c>
      <c r="I4" s="196" t="s">
        <v>6</v>
      </c>
      <c r="J4" s="196" t="s">
        <v>169</v>
      </c>
      <c r="K4" s="196" t="s">
        <v>168</v>
      </c>
      <c r="L4" s="115"/>
      <c r="M4" s="115"/>
      <c r="N4" s="197"/>
      <c r="O4" s="197"/>
      <c r="P4" s="197"/>
      <c r="Q4" s="197"/>
      <c r="R4" s="197"/>
      <c r="S4" s="197"/>
      <c r="T4" s="197"/>
      <c r="U4" s="197"/>
      <c r="V4" s="197"/>
    </row>
    <row r="5" spans="8:8">
      <c r="C5" s="120" t="s">
        <v>373</v>
      </c>
      <c r="D5" s="120"/>
      <c r="E5" s="120"/>
      <c r="F5" s="120"/>
      <c r="G5" s="120"/>
      <c r="H5" s="120"/>
      <c r="I5" s="120"/>
      <c r="J5" s="120"/>
      <c r="K5" s="120"/>
      <c r="L5" s="115"/>
      <c r="M5" s="115"/>
      <c r="N5" s="198" t="s">
        <v>549</v>
      </c>
      <c r="O5" s="198"/>
      <c r="P5" s="198"/>
      <c r="Q5" s="198"/>
      <c r="R5" s="198"/>
      <c r="S5" s="197"/>
      <c r="T5" s="197"/>
      <c r="U5" s="198" t="s">
        <v>550</v>
      </c>
      <c r="V5" s="198"/>
    </row>
    <row r="6" spans="8:8">
      <c r="C6" s="120" t="s">
        <v>374</v>
      </c>
      <c r="D6" s="199"/>
      <c r="E6" s="120"/>
      <c r="F6" s="122">
        <f t="shared" si="0" ref="F6:K9">E15</f>
        <v>0.0</v>
      </c>
      <c r="G6" s="122">
        <f t="shared" si="0"/>
        <v>0.0</v>
      </c>
      <c r="H6" s="122">
        <f t="shared" si="0"/>
        <v>0.0</v>
      </c>
      <c r="I6" s="122">
        <f t="shared" si="0"/>
        <v>0.0</v>
      </c>
      <c r="J6" s="122">
        <f t="shared" si="0"/>
        <v>0.0</v>
      </c>
      <c r="K6" s="122">
        <f t="shared" si="0"/>
        <v>0.0</v>
      </c>
      <c r="L6" s="115"/>
      <c r="M6" s="115"/>
      <c r="N6" s="200" t="s">
        <v>551</v>
      </c>
      <c r="O6" s="200"/>
      <c r="P6" s="200"/>
      <c r="Q6" s="200"/>
      <c r="R6" s="200"/>
      <c r="S6" s="197"/>
      <c r="T6" s="197"/>
      <c r="U6" s="200" t="s">
        <v>551</v>
      </c>
      <c r="V6" s="200"/>
    </row>
    <row r="7" spans="8:8">
      <c r="C7" s="120" t="s">
        <v>465</v>
      </c>
      <c r="D7" s="199"/>
      <c r="E7" s="120"/>
      <c r="F7" s="122">
        <f t="shared" si="0"/>
        <v>4701733.9889625</v>
      </c>
      <c r="G7" s="122">
        <f t="shared" si="0"/>
        <v>5485356.320456251</v>
      </c>
      <c r="H7" s="122">
        <f t="shared" si="0"/>
        <v>6335586.55012697</v>
      </c>
      <c r="I7" s="122">
        <f t="shared" si="0"/>
        <v>7257126.411963623</v>
      </c>
      <c r="J7" s="122">
        <f t="shared" si="0"/>
        <v>8254981.293608617</v>
      </c>
      <c r="K7" s="122">
        <f t="shared" si="0"/>
        <v>9334478.847388202</v>
      </c>
      <c r="L7" s="115"/>
      <c r="M7" s="115"/>
      <c r="N7" s="201" t="s">
        <v>0</v>
      </c>
      <c r="O7" s="201" t="s">
        <v>163</v>
      </c>
      <c r="P7" s="201" t="s">
        <v>164</v>
      </c>
      <c r="Q7" s="201" t="s">
        <v>318</v>
      </c>
      <c r="R7" s="201" t="s">
        <v>319</v>
      </c>
      <c r="S7" s="197"/>
      <c r="T7" s="197"/>
      <c r="U7" s="202" t="s">
        <v>0</v>
      </c>
      <c r="V7" s="202" t="s">
        <v>506</v>
      </c>
    </row>
    <row r="8" spans="8:8">
      <c r="C8" s="120" t="s">
        <v>568</v>
      </c>
      <c r="D8" s="199"/>
      <c r="E8" s="120"/>
      <c r="F8" s="122">
        <f t="shared" si="0"/>
        <v>0.0</v>
      </c>
      <c r="G8" s="122">
        <f t="shared" si="0"/>
        <v>0.0</v>
      </c>
      <c r="H8" s="122">
        <f t="shared" si="0"/>
        <v>0.0</v>
      </c>
      <c r="I8" s="122">
        <f t="shared" si="0"/>
        <v>0.0</v>
      </c>
      <c r="J8" s="122">
        <f t="shared" si="0"/>
        <v>0.0</v>
      </c>
      <c r="K8" s="122">
        <f t="shared" si="0"/>
        <v>0.0</v>
      </c>
      <c r="L8" s="115"/>
      <c r="M8" s="115"/>
      <c r="N8" s="203" t="s">
        <v>375</v>
      </c>
      <c r="O8" s="203">
        <f>'13.Facility 2 Grain Processing'!C152</f>
        <v>4800.0</v>
      </c>
      <c r="P8" s="203">
        <f>'13.Facility 2 Grain Processing'!C153</f>
        <v>5800.0</v>
      </c>
      <c r="Q8" s="203">
        <f>'13.Facility 2 Grain Processing'!C154</f>
        <v>5800.0</v>
      </c>
      <c r="R8" s="203">
        <f>'13.Facility 2 Grain Processing'!C155</f>
        <v>6200.0</v>
      </c>
      <c r="S8" s="197"/>
      <c r="T8" s="197"/>
      <c r="U8" s="203" t="s">
        <v>349</v>
      </c>
      <c r="V8" s="203">
        <f>'17.Facility 6 Horti Processing '!C163</f>
        <v>6000.0</v>
      </c>
    </row>
    <row r="9" spans="8:8">
      <c r="C9" s="120" t="str">
        <f>C18</f>
        <v>Horticulture Processing </v>
      </c>
      <c r="D9" s="120"/>
      <c r="E9" s="120"/>
      <c r="F9" s="122">
        <f>E18</f>
        <v>0.0</v>
      </c>
      <c r="G9" s="122">
        <f t="shared" si="0"/>
        <v>0.0</v>
      </c>
      <c r="H9" s="122">
        <f t="shared" si="0"/>
        <v>0.0</v>
      </c>
      <c r="I9" s="122">
        <f t="shared" si="0"/>
        <v>0.0</v>
      </c>
      <c r="J9" s="122">
        <f t="shared" si="0"/>
        <v>0.0</v>
      </c>
      <c r="K9" s="122">
        <f t="shared" si="0"/>
        <v>0.0</v>
      </c>
      <c r="L9" s="115"/>
      <c r="M9" s="115"/>
      <c r="N9" s="203" t="str">
        <f>'13.Facility 2 Grain Processing'!A156</f>
        <v>Oil (Liters)</v>
      </c>
      <c r="O9" s="203">
        <f>('13.Facility 2 Grain Processing'!B156*'13.Facility 2 Grain Processing'!C156/1000)*100</f>
        <v>20.0</v>
      </c>
      <c r="P9" s="203">
        <f>O9</f>
        <v>20.0</v>
      </c>
      <c r="Q9" s="203">
        <f t="shared" si="1" ref="Q9:R9">P9</f>
        <v>20.0</v>
      </c>
      <c r="R9" s="203">
        <f t="shared" si="1"/>
        <v>20.0</v>
      </c>
      <c r="S9" s="197"/>
      <c r="T9" s="197"/>
      <c r="U9" s="203" t="str">
        <f>'17.Facility 6 Horti Processing '!A164</f>
        <v>Other Consumbales</v>
      </c>
      <c r="V9" s="204">
        <f>'17.Facility 6 Horti Processing '!C164</f>
        <v>2000.0</v>
      </c>
    </row>
    <row r="10" spans="8:8">
      <c r="C10" s="120"/>
      <c r="D10" s="120"/>
      <c r="E10" s="120"/>
      <c r="F10" s="122"/>
      <c r="G10" s="122"/>
      <c r="H10" s="122"/>
      <c r="I10" s="122"/>
      <c r="J10" s="122"/>
      <c r="K10" s="122"/>
      <c r="L10" s="115"/>
      <c r="M10" s="115"/>
      <c r="N10" s="203" t="str">
        <f>'13.Facility 2 Grain Processing'!A157</f>
        <v>Daily Labour </v>
      </c>
      <c r="O10" s="205">
        <f>('13.Facility 2 Grain Processing'!B157*'13.Facility 2 Grain Processing'!C157)/('13.Facility 2 Grain Processing'!B5*'13.Facility 2 Grain Processing'!B6)</f>
        <v>56.25</v>
      </c>
      <c r="P10" s="205">
        <f>O10</f>
        <v>56.25</v>
      </c>
      <c r="Q10" s="205">
        <f t="shared" si="2" ref="Q10:R10">P10</f>
        <v>56.25</v>
      </c>
      <c r="R10" s="205">
        <f t="shared" si="2"/>
        <v>56.25</v>
      </c>
      <c r="S10" s="197"/>
      <c r="T10" s="197"/>
      <c r="U10" s="203" t="str">
        <f>'17.Facility 6 Horti Processing '!A165</f>
        <v>Daily Labour </v>
      </c>
      <c r="V10" s="204">
        <f>'17.Facility 6 Horti Processing '!B165*'17.Facility 6 Horti Processing '!C165/('17.Facility 6 Horti Processing '!B5*'17.Facility 6 Horti Processing '!B6)</f>
        <v>187.5</v>
      </c>
    </row>
    <row r="11" spans="8:8">
      <c r="C11" s="120"/>
      <c r="D11" s="120"/>
      <c r="E11" s="120"/>
      <c r="F11" s="122"/>
      <c r="G11" s="122"/>
      <c r="H11" s="122"/>
      <c r="I11" s="122"/>
      <c r="J11" s="122"/>
      <c r="K11" s="122"/>
      <c r="L11" s="115"/>
      <c r="M11" s="115"/>
      <c r="N11" s="203" t="str">
        <f>'13.Facility 2 Grain Processing'!A158</f>
        <v>Electricity Charges</v>
      </c>
      <c r="O11" s="205">
        <f>('13.Facility 2 Grain Processing'!B158*'13.Facility 2 Grain Processing'!C158)/('13.Facility 2 Grain Processing'!B5*'13.Facility 2 Grain Processing'!B6)</f>
        <v>0.0</v>
      </c>
      <c r="P11" s="205">
        <f>O11</f>
        <v>0.0</v>
      </c>
      <c r="Q11" s="205">
        <f t="shared" si="3" ref="Q11">P11</f>
        <v>0.0</v>
      </c>
      <c r="R11" s="205">
        <f t="shared" si="4" ref="R11">Q11</f>
        <v>0.0</v>
      </c>
      <c r="S11" s="197"/>
      <c r="T11" s="197"/>
      <c r="U11" s="203" t="str">
        <f>'17.Facility 6 Horti Processing '!A166</f>
        <v>Electricity Charges</v>
      </c>
      <c r="V11" s="203">
        <f>'17.Facility 6 Horti Processing '!B166*'17.Facility 6 Horti Processing '!C166/('17.Facility 6 Horti Processing '!B5*'17.Facility 6 Horti Processing '!B6)</f>
        <v>0.0</v>
      </c>
    </row>
    <row r="12" spans="8:8">
      <c r="C12" s="120" t="s">
        <v>1</v>
      </c>
      <c r="D12" s="120"/>
      <c r="E12" s="122"/>
      <c r="F12" s="122">
        <f t="shared" si="5" ref="F12:K12">SUM(F6:F11)</f>
        <v>4701733.9889625</v>
      </c>
      <c r="G12" s="122">
        <f t="shared" si="5"/>
        <v>5485356.320456251</v>
      </c>
      <c r="H12" s="122">
        <f t="shared" si="5"/>
        <v>6335586.55012697</v>
      </c>
      <c r="I12" s="122">
        <f t="shared" si="5"/>
        <v>7257126.411963623</v>
      </c>
      <c r="J12" s="122">
        <f t="shared" si="5"/>
        <v>8254981.293608617</v>
      </c>
      <c r="K12" s="122">
        <f t="shared" si="5"/>
        <v>9334478.847388202</v>
      </c>
      <c r="L12" s="115"/>
      <c r="M12" s="115"/>
      <c r="N12" s="203" t="str">
        <f>'13.Facility 2 Grain Processing'!A159</f>
        <v>Loading/Unloading Charges</v>
      </c>
      <c r="O12" s="203">
        <f>'13.Facility 2 Grain Processing'!C159*2</f>
        <v>20.0</v>
      </c>
      <c r="P12" s="203">
        <f>O12</f>
        <v>20.0</v>
      </c>
      <c r="Q12" s="203">
        <f t="shared" si="6" ref="Q12:R13">P12</f>
        <v>20.0</v>
      </c>
      <c r="R12" s="203">
        <f t="shared" si="6"/>
        <v>20.0</v>
      </c>
      <c r="S12" s="197"/>
      <c r="T12" s="197"/>
      <c r="U12" s="203" t="str">
        <f>'17.Facility 6 Horti Processing '!A167</f>
        <v>Loading/Unloading Charges</v>
      </c>
      <c r="V12" s="203">
        <f>'17.Facility 6 Horti Processing '!C167</f>
        <v>10.0</v>
      </c>
    </row>
    <row r="13" spans="8:8">
      <c r="C13" s="120"/>
      <c r="D13" s="120"/>
      <c r="E13" s="120"/>
      <c r="F13" s="122"/>
      <c r="G13" s="122"/>
      <c r="H13" s="122"/>
      <c r="I13" s="122"/>
      <c r="J13" s="122"/>
      <c r="K13" s="122"/>
      <c r="L13" s="115"/>
      <c r="M13" s="115"/>
      <c r="N13" s="203" t="str">
        <f>'13.Facility 2 Grain Processing'!A160</f>
        <v>packaging Exp</v>
      </c>
      <c r="O13" s="203">
        <f>'13.Facility 2 Grain Processing'!C160*2</f>
        <v>40.0</v>
      </c>
      <c r="P13" s="203">
        <f>O13</f>
        <v>40.0</v>
      </c>
      <c r="Q13" s="203">
        <f t="shared" si="6"/>
        <v>40.0</v>
      </c>
      <c r="R13" s="203">
        <f t="shared" si="6"/>
        <v>40.0</v>
      </c>
      <c r="S13" s="197"/>
      <c r="T13" s="197"/>
      <c r="U13" s="203" t="str">
        <f>'17.Facility 6 Horti Processing '!A168</f>
        <v>packaging Exp</v>
      </c>
      <c r="V13" s="206">
        <f>'17.Facility 6 Horti Processing '!C168*100</f>
        <v>200.0</v>
      </c>
    </row>
    <row r="14" spans="8:8">
      <c r="C14" s="123" t="s">
        <v>351</v>
      </c>
      <c r="D14" s="120"/>
      <c r="E14" s="120"/>
      <c r="F14" s="122"/>
      <c r="G14" s="122"/>
      <c r="H14" s="122"/>
      <c r="I14" s="122"/>
      <c r="J14" s="122"/>
      <c r="K14" s="122"/>
      <c r="L14" s="115"/>
      <c r="M14" s="115"/>
      <c r="N14" s="203"/>
      <c r="O14" s="206"/>
      <c r="P14" s="206"/>
      <c r="Q14" s="206"/>
      <c r="R14" s="206"/>
      <c r="S14" s="197"/>
      <c r="T14" s="197"/>
      <c r="U14" s="206"/>
      <c r="V14" s="206"/>
    </row>
    <row r="15" spans="8:8">
      <c r="C15" s="120" t="str">
        <f>C6</f>
        <v>Agri Input</v>
      </c>
      <c r="D15" s="207">
        <v>0.05</v>
      </c>
      <c r="E15" s="122">
        <f>SUM('16.Facility 5 Agri Input'!D197:D252)*$D$15</f>
        <v>0.0</v>
      </c>
      <c r="F15" s="122">
        <f>SUM('16.Facility 5 Agri Input'!E197:E252)*$D$15</f>
        <v>0.0</v>
      </c>
      <c r="G15" s="122">
        <f>SUM('16.Facility 5 Agri Input'!F197:F252)*$D$15</f>
        <v>0.0</v>
      </c>
      <c r="H15" s="122">
        <f>SUM('16.Facility 5 Agri Input'!G197:G252)*$D$15</f>
        <v>0.0</v>
      </c>
      <c r="I15" s="122">
        <f>SUM('16.Facility 5 Agri Input'!H197:H252)*$D$15</f>
        <v>0.0</v>
      </c>
      <c r="J15" s="122">
        <f>SUM('16.Facility 5 Agri Input'!I197:I252)*$D$15</f>
        <v>0.0</v>
      </c>
      <c r="K15" s="122">
        <f>SUM('16.Facility 5 Agri Input'!J197:J252)*$D$15</f>
        <v>0.0</v>
      </c>
      <c r="L15" s="115"/>
      <c r="M15" s="115"/>
      <c r="N15" s="206"/>
      <c r="O15" s="206"/>
      <c r="P15" s="206"/>
      <c r="Q15" s="206"/>
      <c r="R15" s="206"/>
      <c r="U15" s="206"/>
      <c r="V15" s="206"/>
    </row>
    <row r="16" spans="8:8">
      <c r="C16" s="120" t="str">
        <f>C7</f>
        <v>Trading</v>
      </c>
      <c r="D16" s="207">
        <v>0.05</v>
      </c>
      <c r="E16" s="122">
        <f>SUM('12.Facility 1 - Trading'!D233:D284)*$D$16</f>
        <v>4701733.9889625</v>
      </c>
      <c r="F16" s="122">
        <f>SUM('12.Facility 1 - Trading'!E233:E284)*$D$16</f>
        <v>5485356.320456251</v>
      </c>
      <c r="G16" s="122">
        <f>SUM('12.Facility 1 - Trading'!F233:F284)*$D$16</f>
        <v>6335586.55012697</v>
      </c>
      <c r="H16" s="122">
        <f>SUM('12.Facility 1 - Trading'!G233:G284)*$D$16</f>
        <v>7257126.411963623</v>
      </c>
      <c r="I16" s="122">
        <f>SUM('12.Facility 1 - Trading'!H233:H284)*$D$16</f>
        <v>8254981.293608617</v>
      </c>
      <c r="J16" s="122">
        <f>SUM('12.Facility 1 - Trading'!I233:I284)*$D$16</f>
        <v>9334478.847388202</v>
      </c>
      <c r="K16" s="122">
        <f>SUM('12.Facility 1 - Trading'!J233:J284)*$D$16</f>
        <v>1.0501288703311728E7</v>
      </c>
      <c r="L16" s="115"/>
      <c r="M16" s="115"/>
      <c r="N16" s="201" t="s">
        <v>376</v>
      </c>
      <c r="O16" s="208">
        <f>SUM(O8:O13)</f>
        <v>4936.25</v>
      </c>
      <c r="P16" s="208">
        <f>SUM(P8:P13)</f>
        <v>5936.25</v>
      </c>
      <c r="Q16" s="208">
        <f>SUM(Q8:Q13)</f>
        <v>5936.25</v>
      </c>
      <c r="R16" s="208">
        <f>SUM(R8:R13)</f>
        <v>6336.25</v>
      </c>
      <c r="U16" s="201" t="s">
        <v>1</v>
      </c>
      <c r="V16" s="208">
        <f>SUM(V8:V15)</f>
        <v>8397.5</v>
      </c>
    </row>
    <row r="17" spans="8:8">
      <c r="C17" s="120" t="str">
        <f>C8</f>
        <v>Grain Processing </v>
      </c>
      <c r="D17" s="207">
        <v>0.05</v>
      </c>
      <c r="E17" s="122">
        <f>SUM('13.Facility 2 Grain Processing'!D152:D160)*$D$17</f>
        <v>0.0</v>
      </c>
      <c r="F17" s="122">
        <f>SUM('13.Facility 2 Grain Processing'!E152:E160)*$D$17</f>
        <v>0.0</v>
      </c>
      <c r="G17" s="122">
        <f>SUM('13.Facility 2 Grain Processing'!F152:F160)*$D$17</f>
        <v>0.0</v>
      </c>
      <c r="H17" s="122">
        <f>SUM('13.Facility 2 Grain Processing'!G152:G160)*$D$17</f>
        <v>0.0</v>
      </c>
      <c r="I17" s="122">
        <f>SUM('13.Facility 2 Grain Processing'!H152:H160)*$D$17</f>
        <v>0.0</v>
      </c>
      <c r="J17" s="122">
        <f>SUM('13.Facility 2 Grain Processing'!I152:I160)*$D$17</f>
        <v>0.0</v>
      </c>
      <c r="K17" s="122">
        <f>SUM('13.Facility 2 Grain Processing'!J152:J160)*$D$17</f>
        <v>0.0</v>
      </c>
      <c r="L17" s="115"/>
      <c r="M17" s="115"/>
    </row>
    <row r="18" spans="8:8">
      <c r="C18" s="120" t="s">
        <v>536</v>
      </c>
      <c r="D18" s="207">
        <v>0.05</v>
      </c>
      <c r="E18" s="122">
        <f>SUM('17.Facility 6 Horti Processing '!D163:D168)*$D$18</f>
        <v>0.0</v>
      </c>
      <c r="F18" s="122">
        <f>SUM('17.Facility 6 Horti Processing '!E163:E168)*$D$18</f>
        <v>0.0</v>
      </c>
      <c r="G18" s="122">
        <f>SUM('17.Facility 6 Horti Processing '!F163:F168)*$D$18</f>
        <v>0.0</v>
      </c>
      <c r="H18" s="122">
        <f>SUM('17.Facility 6 Horti Processing '!G163:G168)*$D$18</f>
        <v>0.0</v>
      </c>
      <c r="I18" s="122">
        <f>SUM('17.Facility 6 Horti Processing '!H163:H168)*$D$18</f>
        <v>0.0</v>
      </c>
      <c r="J18" s="122">
        <f>SUM('17.Facility 6 Horti Processing '!I163:I168)*$D$18</f>
        <v>0.0</v>
      </c>
      <c r="K18" s="122">
        <f>SUM('17.Facility 6 Horti Processing '!J163:J168)*$D$18</f>
        <v>0.0</v>
      </c>
      <c r="L18" s="115"/>
      <c r="M18" s="115"/>
    </row>
    <row r="19" spans="8:8">
      <c r="C19" s="120"/>
      <c r="D19" s="209"/>
      <c r="E19" s="122"/>
      <c r="F19" s="122"/>
      <c r="G19" s="122"/>
      <c r="H19" s="122"/>
      <c r="I19" s="122"/>
      <c r="J19" s="122"/>
      <c r="K19" s="122"/>
      <c r="L19" s="115"/>
      <c r="M19" s="115"/>
    </row>
    <row r="20" spans="8:8">
      <c r="C20" s="120"/>
      <c r="D20" s="120"/>
      <c r="E20" s="120"/>
      <c r="F20" s="122"/>
      <c r="G20" s="122"/>
      <c r="H20" s="122"/>
      <c r="I20" s="122"/>
      <c r="J20" s="122"/>
      <c r="K20" s="122"/>
      <c r="L20" s="115"/>
      <c r="M20" s="115"/>
    </row>
    <row r="21" spans="8:8">
      <c r="C21" s="120" t="s">
        <v>1</v>
      </c>
      <c r="D21" s="120"/>
      <c r="E21" s="210">
        <f t="shared" si="7" ref="E21:K21">SUM(E15:E20)</f>
        <v>4701733.9889625</v>
      </c>
      <c r="F21" s="122">
        <f t="shared" si="7"/>
        <v>5485356.320456251</v>
      </c>
      <c r="G21" s="122">
        <f t="shared" si="7"/>
        <v>6335586.55012697</v>
      </c>
      <c r="H21" s="122">
        <f t="shared" si="7"/>
        <v>7257126.411963623</v>
      </c>
      <c r="I21" s="122">
        <f t="shared" si="7"/>
        <v>8254981.293608617</v>
      </c>
      <c r="J21" s="122">
        <f t="shared" si="7"/>
        <v>9334478.847388202</v>
      </c>
      <c r="K21" s="122">
        <f t="shared" si="7"/>
        <v>1.0501288703311728E7</v>
      </c>
      <c r="L21" s="115"/>
      <c r="M21" s="115"/>
    </row>
    <row r="22" spans="8:8">
      <c r="C22" s="115"/>
      <c r="D22" s="115"/>
      <c r="E22" s="115"/>
      <c r="F22" s="115"/>
      <c r="G22" s="115"/>
      <c r="H22" s="115"/>
      <c r="I22" s="115"/>
      <c r="J22" s="115"/>
      <c r="K22" s="115"/>
      <c r="L22" s="115"/>
      <c r="M22" s="115"/>
    </row>
    <row r="23" spans="8:8" ht="41.1" customHeight="1">
      <c r="A23" s="114" t="s">
        <v>428</v>
      </c>
      <c r="B23" s="114"/>
      <c r="C23" s="114"/>
      <c r="D23" s="114"/>
      <c r="E23" s="114"/>
      <c r="F23" s="114"/>
      <c r="G23" s="114"/>
      <c r="H23" s="114"/>
      <c r="I23" s="114"/>
      <c r="J23" s="114"/>
      <c r="K23" s="114"/>
      <c r="L23" s="211"/>
      <c r="M23" s="211"/>
      <c r="N23" s="211"/>
      <c r="O23" s="212"/>
      <c r="P23" s="212"/>
      <c r="Q23" s="212"/>
      <c r="R23" s="212"/>
    </row>
    <row r="24" spans="8:8">
      <c r="A24" t="s">
        <v>553</v>
      </c>
    </row>
    <row r="25" spans="8:8">
      <c r="A25">
        <v>1.0</v>
      </c>
      <c r="B25" t="s">
        <v>556</v>
      </c>
    </row>
    <row r="28" spans="8:8" ht="18.75">
      <c r="B28" s="30" t="s">
        <v>579</v>
      </c>
      <c r="C28" s="30"/>
      <c r="D28" s="30"/>
      <c r="E28" s="30"/>
      <c r="F28" s="30"/>
      <c r="G28" s="30"/>
      <c r="H28" s="30"/>
      <c r="I28" s="30"/>
      <c r="J28" s="30"/>
      <c r="K28" s="30"/>
    </row>
    <row r="30" spans="8:8">
      <c r="B30" s="213" t="s">
        <v>146</v>
      </c>
      <c r="C30" s="213" t="s">
        <v>0</v>
      </c>
      <c r="D30" s="214" t="s">
        <v>372</v>
      </c>
      <c r="E30" s="215" t="s">
        <v>158</v>
      </c>
      <c r="F30" s="216"/>
      <c r="G30" s="216"/>
      <c r="H30" s="216"/>
      <c r="I30" s="216"/>
      <c r="J30" s="216"/>
      <c r="K30" s="216"/>
    </row>
    <row r="31" spans="8:8">
      <c r="B31" s="213"/>
      <c r="C31" s="213"/>
      <c r="D31" s="217"/>
      <c r="E31" s="65" t="s">
        <v>2</v>
      </c>
      <c r="F31" s="65" t="s">
        <v>3</v>
      </c>
      <c r="G31" s="65" t="s">
        <v>4</v>
      </c>
      <c r="H31" s="65" t="s">
        <v>5</v>
      </c>
      <c r="I31" s="65" t="s">
        <v>6</v>
      </c>
      <c r="J31" s="65" t="s">
        <v>169</v>
      </c>
      <c r="K31" s="65" t="s">
        <v>168</v>
      </c>
    </row>
    <row r="32" spans="8:8">
      <c r="B32" s="218"/>
      <c r="C32" s="219"/>
      <c r="D32" s="219"/>
      <c r="E32" s="220"/>
      <c r="F32" s="220"/>
      <c r="G32" s="220"/>
      <c r="H32" s="220"/>
      <c r="I32" s="220"/>
      <c r="J32" s="220"/>
      <c r="K32" s="220"/>
    </row>
    <row r="33" spans="8:8" ht="28.5">
      <c r="B33" s="221" t="s">
        <v>173</v>
      </c>
      <c r="C33" s="222" t="s">
        <v>352</v>
      </c>
      <c r="D33" s="81"/>
      <c r="E33" s="223"/>
      <c r="F33" s="223"/>
      <c r="G33" s="223"/>
      <c r="H33" s="223"/>
      <c r="I33" s="223"/>
      <c r="J33" s="223"/>
      <c r="K33" s="223"/>
    </row>
    <row r="34" spans="8:8">
      <c r="B34" s="224">
        <v>1.0</v>
      </c>
      <c r="C34" s="225" t="s">
        <v>374</v>
      </c>
      <c r="D34" s="81">
        <v>14.0</v>
      </c>
      <c r="E34" s="223">
        <f>('16.Facility 5 Agri Input'!D191/365)*$D$34</f>
        <v>0.0</v>
      </c>
      <c r="F34" s="223">
        <f>('16.Facility 5 Agri Input'!E191/365)*$D$34</f>
        <v>0.0</v>
      </c>
      <c r="G34" s="223">
        <f>('16.Facility 5 Agri Input'!F191/365)*$D$34</f>
        <v>0.0</v>
      </c>
      <c r="H34" s="223">
        <f>('16.Facility 5 Agri Input'!G191/365)*$D$34</f>
        <v>0.0</v>
      </c>
      <c r="I34" s="223">
        <f>('16.Facility 5 Agri Input'!H191/365)*$D$34</f>
        <v>0.0</v>
      </c>
      <c r="J34" s="223">
        <f>('16.Facility 5 Agri Input'!I191/365)*$D$34</f>
        <v>0.0</v>
      </c>
      <c r="K34" s="223">
        <f>('16.Facility 5 Agri Input'!J191/365)*$D$34</f>
        <v>0.0</v>
      </c>
    </row>
    <row r="35" spans="8:8">
      <c r="B35" s="224">
        <v>2.0</v>
      </c>
      <c r="C35" s="225" t="s">
        <v>369</v>
      </c>
      <c r="D35" s="81">
        <v>14.0</v>
      </c>
      <c r="E35" s="223">
        <f>('15. Facility 4 Custom Hiring'!E39/365)*$D$35</f>
        <v>0.0</v>
      </c>
      <c r="F35" s="223">
        <f>('15. Facility 4 Custom Hiring'!F39/365)*$D$35</f>
        <v>0.0</v>
      </c>
      <c r="G35" s="223">
        <f>('15. Facility 4 Custom Hiring'!G39/365)*$D$35</f>
        <v>0.0</v>
      </c>
      <c r="H35" s="223">
        <f>('15. Facility 4 Custom Hiring'!H39/365)*$D$35</f>
        <v>0.0</v>
      </c>
      <c r="I35" s="223">
        <f>('15. Facility 4 Custom Hiring'!I39/365)*$D$35</f>
        <v>0.0</v>
      </c>
      <c r="J35" s="223">
        <f>('15. Facility 4 Custom Hiring'!J39/365)*$D$35</f>
        <v>0.0</v>
      </c>
      <c r="K35" s="223">
        <f>('15. Facility 4 Custom Hiring'!K39/365)*$D$35</f>
        <v>0.0</v>
      </c>
    </row>
    <row r="36" spans="8:8">
      <c r="B36" s="224">
        <v>3.0</v>
      </c>
      <c r="C36" s="225" t="s">
        <v>370</v>
      </c>
      <c r="D36" s="81">
        <v>14.0</v>
      </c>
      <c r="E36" s="223">
        <f>('12.Facility 1 - Trading'!D229/365)*$D$36</f>
        <v>3774886.644914384</v>
      </c>
      <c r="F36" s="223">
        <f>('12.Facility 1 - Trading'!E229/365)*$D$36</f>
        <v>4612646.575759417</v>
      </c>
      <c r="G36" s="223">
        <f>('12.Facility 1 - Trading'!F229/365)*$D$36</f>
        <v>5330040.603496876</v>
      </c>
      <c r="H36" s="223">
        <f>('12.Facility 1 - Trading'!G229/365)*$D$36</f>
        <v>6107642.41756868</v>
      </c>
      <c r="I36" s="223">
        <f>('12.Facility 1 - Trading'!H229/365)*$D$36</f>
        <v>6949679.311538921</v>
      </c>
      <c r="J36" s="223">
        <f>('12.Facility 1 - Trading'!I229/365)*$D$36</f>
        <v>7860650.7888622675</v>
      </c>
      <c r="K36" s="223">
        <f>('12.Facility 1 - Trading'!J229/365)*$D$36</f>
        <v>8845345.215639098</v>
      </c>
    </row>
    <row r="37" spans="8:8">
      <c r="B37" s="224">
        <v>4.0</v>
      </c>
      <c r="C37" s="225" t="s">
        <v>141</v>
      </c>
      <c r="D37" s="81">
        <v>14.0</v>
      </c>
      <c r="E37" s="223">
        <f>('13.Facility 2 Grain Processing'!D148/365)*$D$37</f>
        <v>0.0</v>
      </c>
      <c r="F37" s="223">
        <f>('13.Facility 2 Grain Processing'!E148/365)*$D$37</f>
        <v>0.0</v>
      </c>
      <c r="G37" s="223">
        <f>('13.Facility 2 Grain Processing'!F148/365)*$D$37</f>
        <v>0.0</v>
      </c>
      <c r="H37" s="223">
        <f>('13.Facility 2 Grain Processing'!G148/365)*$D$37</f>
        <v>0.0</v>
      </c>
      <c r="I37" s="223">
        <f>('13.Facility 2 Grain Processing'!H148/365)*$D$37</f>
        <v>0.0</v>
      </c>
      <c r="J37" s="223">
        <f>('13.Facility 2 Grain Processing'!I148/365)*$D$37</f>
        <v>0.0</v>
      </c>
      <c r="K37" s="223">
        <f>('13.Facility 2 Grain Processing'!J148/365)*$D$37</f>
        <v>0.0</v>
      </c>
    </row>
    <row r="38" spans="8:8">
      <c r="B38" s="224">
        <v>5.0</v>
      </c>
      <c r="C38" s="225" t="s">
        <v>302</v>
      </c>
      <c r="D38" s="81">
        <v>14.0</v>
      </c>
      <c r="E38" s="223">
        <f>('14. Facility 3 Warehouse'!D23/365)*$D$38</f>
        <v>0.0</v>
      </c>
      <c r="F38" s="223">
        <f>('14. Facility 3 Warehouse'!E23/365)*$D$38</f>
        <v>0.0</v>
      </c>
      <c r="G38" s="223">
        <f>('14. Facility 3 Warehouse'!F23/365)*$D$38</f>
        <v>0.0</v>
      </c>
      <c r="H38" s="223">
        <f>('14. Facility 3 Warehouse'!G23/365)*$D$38</f>
        <v>0.0</v>
      </c>
      <c r="I38" s="223">
        <f>('14. Facility 3 Warehouse'!H23/365)*$D$38</f>
        <v>0.0</v>
      </c>
      <c r="J38" s="223">
        <f>('14. Facility 3 Warehouse'!I23/365)*$D$38</f>
        <v>0.0</v>
      </c>
      <c r="K38" s="223">
        <f>('14. Facility 3 Warehouse'!J23/365)*$D$38</f>
        <v>0.0</v>
      </c>
    </row>
    <row r="39" spans="8:8" ht="30.0">
      <c r="B39" s="224">
        <v>6.0</v>
      </c>
      <c r="C39" s="225" t="s">
        <v>548</v>
      </c>
      <c r="D39" s="81">
        <v>14.0</v>
      </c>
      <c r="E39" s="223">
        <f>('17.Facility 6 Horti Processing '!D159/365)*$D$39</f>
        <v>0.0</v>
      </c>
      <c r="F39" s="223">
        <f>('17.Facility 6 Horti Processing '!E159/365)*$D$39</f>
        <v>0.0</v>
      </c>
      <c r="G39" s="223">
        <f>('17.Facility 6 Horti Processing '!F159/365)*$D$39</f>
        <v>0.0</v>
      </c>
      <c r="H39" s="223">
        <f>('17.Facility 6 Horti Processing '!G159/365)*$D$39</f>
        <v>0.0</v>
      </c>
      <c r="I39" s="223">
        <f>('17.Facility 6 Horti Processing '!H159/365)*$D$39</f>
        <v>0.0</v>
      </c>
      <c r="J39" s="223">
        <f>('17.Facility 6 Horti Processing '!I159/365)*$D$39</f>
        <v>0.0</v>
      </c>
      <c r="K39" s="223">
        <f>('17.Facility 6 Horti Processing '!J159/365)*$D$39</f>
        <v>0.0</v>
      </c>
    </row>
    <row r="40" spans="8:8">
      <c r="B40" s="224"/>
      <c r="C40" s="225"/>
      <c r="D40" s="81"/>
      <c r="E40" s="223"/>
      <c r="F40" s="223"/>
      <c r="G40" s="223"/>
      <c r="H40" s="223"/>
      <c r="I40" s="223"/>
      <c r="J40" s="223"/>
      <c r="K40" s="223"/>
    </row>
    <row r="41" spans="8:8">
      <c r="B41" s="226"/>
      <c r="C41" s="222" t="s">
        <v>171</v>
      </c>
      <c r="D41" s="81"/>
      <c r="E41" s="223">
        <f>SUM(E34:E40)</f>
        <v>3774886.644914384</v>
      </c>
      <c r="F41" s="223">
        <f t="shared" si="8" ref="F41:K41">SUM(F34:F40)</f>
        <v>4612646.575759417</v>
      </c>
      <c r="G41" s="223">
        <f t="shared" si="8"/>
        <v>5330040.603496876</v>
      </c>
      <c r="H41" s="223">
        <f t="shared" si="8"/>
        <v>6107642.41756868</v>
      </c>
      <c r="I41" s="223">
        <f t="shared" si="8"/>
        <v>6949679.311538921</v>
      </c>
      <c r="J41" s="223">
        <f t="shared" si="8"/>
        <v>7860650.7888622675</v>
      </c>
      <c r="K41" s="223">
        <f t="shared" si="8"/>
        <v>8845345.215639098</v>
      </c>
    </row>
    <row r="42" spans="8:8">
      <c r="B42" s="221" t="s">
        <v>174</v>
      </c>
      <c r="C42" s="222" t="s">
        <v>351</v>
      </c>
      <c r="D42" s="81"/>
      <c r="E42" s="223">
        <f>'5.Closing Stock &amp; W Capital'!E21</f>
        <v>4701733.9889625</v>
      </c>
      <c r="F42" s="223">
        <f>'5.Closing Stock &amp; W Capital'!F21</f>
        <v>5485356.320456251</v>
      </c>
      <c r="G42" s="223">
        <f>'5.Closing Stock &amp; W Capital'!G21</f>
        <v>6335586.55012697</v>
      </c>
      <c r="H42" s="223">
        <f>'5.Closing Stock &amp; W Capital'!H21</f>
        <v>7257126.411963623</v>
      </c>
      <c r="I42" s="223">
        <f>'5.Closing Stock &amp; W Capital'!I21</f>
        <v>8254981.293608617</v>
      </c>
      <c r="J42" s="223">
        <f>'5.Closing Stock &amp; W Capital'!J21</f>
        <v>9334478.847388202</v>
      </c>
      <c r="K42" s="223">
        <f>'5.Closing Stock &amp; W Capital'!K21</f>
        <v>1.0501288703311728E7</v>
      </c>
    </row>
    <row r="43" spans="8:8">
      <c r="B43" s="221"/>
      <c r="C43" s="225"/>
      <c r="D43" s="81"/>
      <c r="E43" s="223"/>
      <c r="F43" s="223"/>
      <c r="G43" s="223"/>
      <c r="H43" s="223"/>
      <c r="I43" s="223"/>
      <c r="J43" s="223"/>
      <c r="K43" s="223"/>
    </row>
    <row r="44" spans="8:8">
      <c r="B44" s="227" t="s">
        <v>1</v>
      </c>
      <c r="C44" s="228"/>
      <c r="D44" s="229"/>
      <c r="E44" s="230">
        <f>SUM(E41:E42)</f>
        <v>8476620.633876884</v>
      </c>
      <c r="F44" s="230">
        <f t="shared" si="9" ref="F44:K44">SUM(F41:F42)</f>
        <v>1.0098002896215668E7</v>
      </c>
      <c r="G44" s="230">
        <f t="shared" si="9"/>
        <v>1.1665627153623845E7</v>
      </c>
      <c r="H44" s="230">
        <f t="shared" si="9"/>
        <v>1.3364768829532303E7</v>
      </c>
      <c r="I44" s="230">
        <f t="shared" si="9"/>
        <v>1.5204660605147537E7</v>
      </c>
      <c r="J44" s="230">
        <f t="shared" si="9"/>
        <v>1.719512963625047E7</v>
      </c>
      <c r="K44" s="230">
        <f t="shared" si="9"/>
        <v>1.9346633918950826E7</v>
      </c>
    </row>
    <row r="45" spans="8:8">
      <c r="B45" s="221"/>
      <c r="C45" s="222"/>
      <c r="D45" s="81"/>
      <c r="E45" s="223"/>
      <c r="F45" s="223"/>
      <c r="G45" s="223"/>
      <c r="H45" s="223"/>
      <c r="I45" s="223"/>
      <c r="J45" s="223"/>
      <c r="K45" s="223"/>
    </row>
    <row r="46" spans="8:8" ht="34.5" customHeight="1">
      <c r="B46" s="221" t="s">
        <v>175</v>
      </c>
      <c r="C46" s="225" t="s">
        <v>353</v>
      </c>
      <c r="D46" s="81"/>
      <c r="E46" s="223"/>
      <c r="F46" s="223"/>
      <c r="G46" s="223"/>
      <c r="H46" s="223"/>
      <c r="I46" s="223"/>
      <c r="J46" s="223"/>
      <c r="K46" s="223"/>
    </row>
    <row r="47" spans="8:8">
      <c r="B47" s="224">
        <v>1.0</v>
      </c>
      <c r="C47" s="225" t="str">
        <f t="shared" si="10" ref="C47:C52">C34</f>
        <v>Agri Input</v>
      </c>
      <c r="D47" s="81">
        <v>7.0</v>
      </c>
      <c r="E47" s="223">
        <f>('16.Facility 5 Agri Input'!D262/365)*$D$47</f>
        <v>0.0</v>
      </c>
      <c r="F47" s="223">
        <f>('16.Facility 5 Agri Input'!E262/365)*$D$47</f>
        <v>0.0</v>
      </c>
      <c r="G47" s="223">
        <f>('16.Facility 5 Agri Input'!F262/365)*$D$47</f>
        <v>0.0</v>
      </c>
      <c r="H47" s="223">
        <f>('16.Facility 5 Agri Input'!G262/365)*$D$47</f>
        <v>0.0</v>
      </c>
      <c r="I47" s="223">
        <f>('16.Facility 5 Agri Input'!H262/365)*$D$47</f>
        <v>0.0</v>
      </c>
      <c r="J47" s="223">
        <f>('16.Facility 5 Agri Input'!I262/365)*$D$47</f>
        <v>0.0</v>
      </c>
      <c r="K47" s="223">
        <f>('16.Facility 5 Agri Input'!J262/365)*$D$47</f>
        <v>0.0</v>
      </c>
    </row>
    <row r="48" spans="8:8">
      <c r="B48" s="224">
        <v>2.0</v>
      </c>
      <c r="C48" s="225" t="str">
        <f t="shared" si="10"/>
        <v>Custom Hiring</v>
      </c>
      <c r="D48" s="81">
        <v>7.0</v>
      </c>
      <c r="E48" s="223">
        <f>('15. Facility 4 Custom Hiring'!E49/365)*$D$49</f>
        <v>0.0</v>
      </c>
      <c r="F48" s="223">
        <f>('15. Facility 4 Custom Hiring'!F49/365)*$D$49</f>
        <v>0.0</v>
      </c>
      <c r="G48" s="223">
        <f>('15. Facility 4 Custom Hiring'!G49/365)*$D$49</f>
        <v>0.0</v>
      </c>
      <c r="H48" s="223">
        <f>('15. Facility 4 Custom Hiring'!H49/365)*$D$49</f>
        <v>0.0</v>
      </c>
      <c r="I48" s="223">
        <f>('15. Facility 4 Custom Hiring'!I49/365)*$D$49</f>
        <v>0.0</v>
      </c>
      <c r="J48" s="223">
        <f>('15. Facility 4 Custom Hiring'!J49/365)*$D$49</f>
        <v>0.0</v>
      </c>
      <c r="K48" s="223">
        <f>('15. Facility 4 Custom Hiring'!K49/365)*$D$49</f>
        <v>0.0</v>
      </c>
    </row>
    <row r="49" spans="8:8">
      <c r="B49" s="224">
        <v>3.0</v>
      </c>
      <c r="C49" s="225" t="str">
        <f t="shared" si="10"/>
        <v>Cleaning &amp; Grading</v>
      </c>
      <c r="D49" s="81">
        <v>7.0</v>
      </c>
      <c r="E49" s="223">
        <f>('12.Facility 1 - Trading'!D292/365)*$D$49</f>
        <v>1722145.2989575686</v>
      </c>
      <c r="F49" s="223">
        <f>('12.Facility 1 - Trading'!E292/365)*$D$49</f>
        <v>2099339.7563347183</v>
      </c>
      <c r="G49" s="223">
        <f>('12.Facility 1 - Trading'!F292/365)*$D$49</f>
        <v>2425789.404710231</v>
      </c>
      <c r="H49" s="223">
        <f>('12.Facility 1 - Trading'!G292/365)*$D$49</f>
        <v>2779635.6685324814</v>
      </c>
      <c r="I49" s="223">
        <f>('12.Facility 1 - Trading'!H292/365)*$D$49</f>
        <v>3162802.085225183</v>
      </c>
      <c r="J49" s="223">
        <f>('12.Facility 1 - Trading'!I292/365)*$D$49</f>
        <v>3577336.0544158095</v>
      </c>
      <c r="K49" s="223">
        <f>('12.Facility 1 - Trading'!J292/365)*$D$49</f>
        <v>4025416.4153124327</v>
      </c>
    </row>
    <row r="50" spans="8:8">
      <c r="B50" s="224">
        <v>4.0</v>
      </c>
      <c r="C50" s="225" t="str">
        <f t="shared" si="10"/>
        <v>Dal Mill</v>
      </c>
      <c r="D50" s="81">
        <v>7.0</v>
      </c>
      <c r="E50" s="223">
        <f>('13.Facility 2 Grain Processing'!D169/365)*$D$50</f>
        <v>0.0</v>
      </c>
      <c r="F50" s="223">
        <f>('13.Facility 2 Grain Processing'!E169/365)*$D$50</f>
        <v>0.0</v>
      </c>
      <c r="G50" s="223">
        <f>('13.Facility 2 Grain Processing'!F169/365)*$D$50</f>
        <v>0.0</v>
      </c>
      <c r="H50" s="223">
        <f>('13.Facility 2 Grain Processing'!G169/365)*$D$50</f>
        <v>0.0</v>
      </c>
      <c r="I50" s="223">
        <f>('13.Facility 2 Grain Processing'!H169/365)*$D$50</f>
        <v>0.0</v>
      </c>
      <c r="J50" s="223">
        <f>('13.Facility 2 Grain Processing'!I169/365)*$D$50</f>
        <v>0.0</v>
      </c>
      <c r="K50" s="223">
        <f>('13.Facility 2 Grain Processing'!J169/365)*$D$50</f>
        <v>0.0</v>
      </c>
    </row>
    <row r="51" spans="8:8">
      <c r="B51" s="224">
        <v>5.0</v>
      </c>
      <c r="C51" s="225" t="str">
        <f t="shared" si="10"/>
        <v>Warehouse</v>
      </c>
      <c r="D51" s="81">
        <v>7.0</v>
      </c>
      <c r="E51" s="223">
        <f>('14. Facility 3 Warehouse'!D34/365)*$D$51</f>
        <v>0.0</v>
      </c>
      <c r="F51" s="223">
        <f>('14. Facility 3 Warehouse'!E34/365)*$D$51</f>
        <v>0.0</v>
      </c>
      <c r="G51" s="223">
        <f>('14. Facility 3 Warehouse'!F34/365)*$D$51</f>
        <v>0.0</v>
      </c>
      <c r="H51" s="223">
        <f>('14. Facility 3 Warehouse'!G34/365)*$D$51</f>
        <v>0.0</v>
      </c>
      <c r="I51" s="223">
        <f>('14. Facility 3 Warehouse'!H34/365)*$D$51</f>
        <v>0.0</v>
      </c>
      <c r="J51" s="223">
        <f>('14. Facility 3 Warehouse'!I34/365)*$D$51</f>
        <v>0.0</v>
      </c>
      <c r="K51" s="223">
        <f>('14. Facility 3 Warehouse'!J34/365)*$D$51</f>
        <v>0.0</v>
      </c>
    </row>
    <row r="52" spans="8:8" ht="30.0">
      <c r="B52" s="224"/>
      <c r="C52" s="225" t="str">
        <f t="shared" si="10"/>
        <v>Processing Unit - Horti Commodity</v>
      </c>
      <c r="D52" s="81">
        <v>7.0</v>
      </c>
      <c r="E52" s="223">
        <f>('17.Facility 6 Horti Processing '!D177/365)*$D$52</f>
        <v>0.0</v>
      </c>
      <c r="F52" s="223">
        <f>('17.Facility 6 Horti Processing '!E177/365)*$D$52</f>
        <v>0.0</v>
      </c>
      <c r="G52" s="223">
        <f>('17.Facility 6 Horti Processing '!F177/365)*$D$52</f>
        <v>0.0</v>
      </c>
      <c r="H52" s="223">
        <f>('17.Facility 6 Horti Processing '!G177/365)*$D$52</f>
        <v>0.0</v>
      </c>
      <c r="I52" s="223">
        <f>('17.Facility 6 Horti Processing '!H177/365)*$D$52</f>
        <v>0.0</v>
      </c>
      <c r="J52" s="223">
        <f>('17.Facility 6 Horti Processing '!I177/365)*$D$52</f>
        <v>0.0</v>
      </c>
      <c r="K52" s="223">
        <f>('17.Facility 6 Horti Processing '!J177/365)*$D$52</f>
        <v>0.0</v>
      </c>
    </row>
    <row r="53" spans="8:8">
      <c r="B53" s="224"/>
      <c r="C53" s="225"/>
      <c r="D53" s="81"/>
      <c r="E53" s="223"/>
      <c r="F53" s="223"/>
      <c r="G53" s="223"/>
      <c r="H53" s="223"/>
      <c r="I53" s="223"/>
      <c r="J53" s="223"/>
      <c r="K53" s="223"/>
    </row>
    <row r="54" spans="8:8">
      <c r="B54" s="231"/>
      <c r="C54" s="222" t="s">
        <v>1</v>
      </c>
      <c r="D54" s="81"/>
      <c r="E54" s="230">
        <f>SUM(E47:E53)</f>
        <v>1722145.2989575686</v>
      </c>
      <c r="F54" s="230">
        <f t="shared" si="11" ref="F54:K54">SUM(F47:F53)</f>
        <v>2099339.7563347183</v>
      </c>
      <c r="G54" s="230">
        <f t="shared" si="11"/>
        <v>2425789.404710231</v>
      </c>
      <c r="H54" s="230">
        <f t="shared" si="11"/>
        <v>2779635.6685324814</v>
      </c>
      <c r="I54" s="230">
        <f t="shared" si="11"/>
        <v>3162802.085225183</v>
      </c>
      <c r="J54" s="230">
        <f t="shared" si="11"/>
        <v>3577336.0544158095</v>
      </c>
      <c r="K54" s="230">
        <f t="shared" si="11"/>
        <v>4025416.4153124327</v>
      </c>
    </row>
    <row r="55" spans="8:8">
      <c r="B55" s="221" t="s">
        <v>176</v>
      </c>
      <c r="C55" s="222" t="s">
        <v>156</v>
      </c>
      <c r="D55" s="81"/>
      <c r="E55" s="230">
        <f>E44-E54</f>
        <v>6754475.334919311</v>
      </c>
      <c r="F55" s="230">
        <f t="shared" si="12" ref="F55:K55">F44-F54</f>
        <v>7998663.139880979</v>
      </c>
      <c r="G55" s="230">
        <f t="shared" si="12"/>
        <v>9239837.748913571</v>
      </c>
      <c r="H55" s="230">
        <f t="shared" si="12"/>
        <v>1.058513316099982E7</v>
      </c>
      <c r="I55" s="230">
        <f t="shared" si="12"/>
        <v>1.204185851992232E7</v>
      </c>
      <c r="J55" s="230">
        <f t="shared" si="12"/>
        <v>1.3617793581834689E7</v>
      </c>
      <c r="K55" s="230">
        <f t="shared" si="12"/>
        <v>1.532121750363837E7</v>
      </c>
    </row>
    <row r="56" spans="8:8">
      <c r="B56" s="221"/>
      <c r="C56" s="222" t="s">
        <v>135</v>
      </c>
      <c r="D56" s="232">
        <v>0.0</v>
      </c>
      <c r="E56" s="230">
        <f>E55*$D$56</f>
        <v>0.0</v>
      </c>
      <c r="F56" s="230"/>
      <c r="G56" s="230"/>
      <c r="H56" s="230"/>
      <c r="I56" s="230"/>
      <c r="J56" s="230"/>
      <c r="K56" s="230"/>
    </row>
    <row r="58" spans="8:8">
      <c r="E58" s="233"/>
    </row>
    <row r="59" spans="8:8" ht="37.35" customHeight="1">
      <c r="A59" s="234" t="s">
        <v>423</v>
      </c>
      <c r="B59" s="235"/>
      <c r="C59" s="235"/>
      <c r="D59" s="235"/>
      <c r="E59" s="235"/>
      <c r="F59" s="235"/>
      <c r="G59" s="235"/>
      <c r="H59" s="235"/>
      <c r="I59" s="235"/>
      <c r="J59" s="235"/>
      <c r="K59" s="235"/>
      <c r="L59" s="235"/>
    </row>
    <row r="60" spans="8:8">
      <c r="A60" t="s">
        <v>557</v>
      </c>
    </row>
    <row r="61" spans="8:8">
      <c r="A61">
        <v>1.0</v>
      </c>
      <c r="B61" t="s">
        <v>558</v>
      </c>
    </row>
    <row r="62" spans="8:8">
      <c r="A62">
        <v>2.0</v>
      </c>
      <c r="B62" t="s">
        <v>559</v>
      </c>
    </row>
    <row r="63" spans="8:8">
      <c r="A63">
        <v>3.0</v>
      </c>
      <c r="B63" t="s">
        <v>560</v>
      </c>
    </row>
  </sheetData>
  <mergeCells count="13">
    <mergeCell ref="A59:L59"/>
    <mergeCell ref="A23:K23"/>
    <mergeCell ref="B44:C44"/>
    <mergeCell ref="U6:V6"/>
    <mergeCell ref="U5:V5"/>
    <mergeCell ref="C30:C31"/>
    <mergeCell ref="B28:K28"/>
    <mergeCell ref="C2:K2"/>
    <mergeCell ref="B30:B31"/>
    <mergeCell ref="N5:R5"/>
    <mergeCell ref="D30:D31"/>
    <mergeCell ref="E30:K30"/>
    <mergeCell ref="N6:R6"/>
  </mergeCells>
  <pageMargins left="0.7" right="0.7" top="0.75" bottom="0.75" header="0.3" footer="0.3"/>
  <pageSetup paperSize="9" scale="56" orientation="landscape"/>
</worksheet>
</file>

<file path=xl/worksheets/sheet7.xml><?xml version="1.0" encoding="utf-8"?>
<worksheet xmlns:r="http://schemas.openxmlformats.org/officeDocument/2006/relationships" xmlns="http://schemas.openxmlformats.org/spreadsheetml/2006/main">
  <dimension ref="A1:K58"/>
  <sheetViews>
    <sheetView workbookViewId="0" zoomScale="80">
      <selection activeCell="L47" sqref="L47"/>
    </sheetView>
  </sheetViews>
  <sheetFormatPr defaultRowHeight="15.0" defaultColWidth="10"/>
  <cols>
    <col min="1" max="1" customWidth="1" bestFit="1" width="40.570312" style="0"/>
    <col min="2" max="2" customWidth="1" bestFit="1" width="13.425781" style="0"/>
    <col min="3" max="3" customWidth="1" bestFit="1" width="14.5703125" style="0"/>
    <col min="4" max="4" customWidth="1" width="14.7109375" style="0"/>
    <col min="5" max="5" customWidth="1" width="14.285156" style="0"/>
    <col min="6" max="6" customWidth="1" width="13.5703125" style="0"/>
    <col min="7" max="7" customWidth="1" width="14.425781" style="0"/>
    <col min="8" max="8" customWidth="1" width="13.5703125" style="0"/>
    <col min="9" max="9" customWidth="1" width="8.5703125" style="0"/>
    <col min="10" max="10" customWidth="1" bestFit="1" width="10.140625" style="0"/>
    <col min="11" max="11" customWidth="1" bestFit="1" width="9.5703125" style="0"/>
  </cols>
  <sheetData>
    <row r="2" spans="8:8" ht="18.75">
      <c r="A2" s="50" t="s">
        <v>580</v>
      </c>
      <c r="B2" s="50"/>
      <c r="C2" s="50"/>
      <c r="D2" s="50"/>
      <c r="E2" s="50"/>
      <c r="F2" s="50"/>
      <c r="G2" s="50"/>
      <c r="H2" s="50"/>
    </row>
    <row r="4" spans="8:8">
      <c r="B4" s="236"/>
      <c r="C4" s="236"/>
      <c r="D4" s="236"/>
      <c r="E4" s="236"/>
      <c r="F4" s="236"/>
    </row>
    <row r="5" spans="8:8">
      <c r="A5" s="118" t="s">
        <v>0</v>
      </c>
      <c r="B5" s="119" t="s">
        <v>2</v>
      </c>
      <c r="C5" s="119" t="s">
        <v>3</v>
      </c>
      <c r="D5" s="119" t="s">
        <v>4</v>
      </c>
      <c r="E5" s="119" t="s">
        <v>5</v>
      </c>
      <c r="F5" s="119" t="s">
        <v>6</v>
      </c>
      <c r="G5" s="119" t="s">
        <v>169</v>
      </c>
      <c r="H5" s="119" t="s">
        <v>168</v>
      </c>
    </row>
    <row r="6" spans="8:8">
      <c r="A6" s="123" t="s">
        <v>127</v>
      </c>
      <c r="B6" s="120"/>
      <c r="C6" s="120"/>
      <c r="D6" s="120"/>
      <c r="E6" s="120"/>
      <c r="F6" s="120"/>
      <c r="G6" s="120"/>
      <c r="H6" s="120"/>
    </row>
    <row r="7" spans="8:8">
      <c r="A7" s="120"/>
      <c r="B7" s="120"/>
      <c r="C7" s="120"/>
      <c r="D7" s="120"/>
      <c r="E7" s="120"/>
      <c r="F7" s="120"/>
      <c r="G7" s="120"/>
      <c r="H7" s="120"/>
    </row>
    <row r="8" spans="8:8">
      <c r="A8" s="120" t="s">
        <v>523</v>
      </c>
      <c r="B8" s="122">
        <f>'12.Facility 1 - Trading'!D229</f>
        <v>9.8416687528125E7</v>
      </c>
      <c r="C8" s="122">
        <f>'12.Facility 1 - Trading'!E229</f>
        <v>1.2025828572515625E8</v>
      </c>
      <c r="D8" s="122">
        <f>'12.Facility 1 - Trading'!F229</f>
        <v>1.3896177287688282E8</v>
      </c>
      <c r="E8" s="122">
        <f>'12.Facility 1 - Trading'!G229</f>
        <v>1.5923496302946916E8</v>
      </c>
      <c r="F8" s="122">
        <f>'12.Facility 1 - Trading'!H229</f>
        <v>1.8118806776512188E8</v>
      </c>
      <c r="G8" s="122">
        <f>'12.Facility 1 - Trading'!I229</f>
        <v>2.0493839556676626E8</v>
      </c>
      <c r="H8" s="122">
        <f>'12.Facility 1 - Trading'!J229</f>
        <v>2.3061078597916222E8</v>
      </c>
    </row>
    <row r="9" spans="8:8">
      <c r="A9" s="120" t="s">
        <v>524</v>
      </c>
      <c r="B9" s="122">
        <f>'13.Facility 2 Grain Processing'!D148</f>
        <v>0.0</v>
      </c>
      <c r="C9" s="122">
        <f>'13.Facility 2 Grain Processing'!E148</f>
        <v>0.0</v>
      </c>
      <c r="D9" s="122">
        <f>'13.Facility 2 Grain Processing'!F148</f>
        <v>0.0</v>
      </c>
      <c r="E9" s="122">
        <f>'13.Facility 2 Grain Processing'!G148</f>
        <v>0.0</v>
      </c>
      <c r="F9" s="122">
        <f>'13.Facility 2 Grain Processing'!H148</f>
        <v>0.0</v>
      </c>
      <c r="G9" s="122">
        <f>'13.Facility 2 Grain Processing'!I148</f>
        <v>0.0</v>
      </c>
      <c r="H9" s="122">
        <f>'13.Facility 2 Grain Processing'!J148</f>
        <v>0.0</v>
      </c>
    </row>
    <row r="10" spans="8:8">
      <c r="A10" s="120" t="s">
        <v>525</v>
      </c>
      <c r="B10" s="122">
        <f>'14. Facility 3 Warehouse'!D23</f>
        <v>0.0</v>
      </c>
      <c r="C10" s="122">
        <f>'14. Facility 3 Warehouse'!E23</f>
        <v>0.0</v>
      </c>
      <c r="D10" s="122">
        <f>'14. Facility 3 Warehouse'!F23</f>
        <v>0.0</v>
      </c>
      <c r="E10" s="122">
        <f>'14. Facility 3 Warehouse'!G23</f>
        <v>0.0</v>
      </c>
      <c r="F10" s="122">
        <f>'14. Facility 3 Warehouse'!H23</f>
        <v>0.0</v>
      </c>
      <c r="G10" s="122">
        <f>'14. Facility 3 Warehouse'!I23</f>
        <v>0.0</v>
      </c>
      <c r="H10" s="122">
        <f>'14. Facility 3 Warehouse'!J23</f>
        <v>0.0</v>
      </c>
    </row>
    <row r="11" spans="8:8">
      <c r="A11" s="120" t="s">
        <v>526</v>
      </c>
      <c r="B11" s="122">
        <f>'15. Facility 4 Custom Hiring'!E39</f>
        <v>0.0</v>
      </c>
      <c r="C11" s="122">
        <f>'15. Facility 4 Custom Hiring'!F39</f>
        <v>0.0</v>
      </c>
      <c r="D11" s="122">
        <f>'15. Facility 4 Custom Hiring'!G39</f>
        <v>0.0</v>
      </c>
      <c r="E11" s="122">
        <f>'15. Facility 4 Custom Hiring'!H39</f>
        <v>0.0</v>
      </c>
      <c r="F11" s="122">
        <f>'15. Facility 4 Custom Hiring'!I39</f>
        <v>0.0</v>
      </c>
      <c r="G11" s="122">
        <f>'15. Facility 4 Custom Hiring'!J39</f>
        <v>0.0</v>
      </c>
      <c r="H11" s="122">
        <f>'15. Facility 4 Custom Hiring'!K39</f>
        <v>0.0</v>
      </c>
    </row>
    <row r="12" spans="8:8">
      <c r="A12" s="120" t="s">
        <v>522</v>
      </c>
      <c r="B12" s="122">
        <f>'16.Facility 5 Agri Input'!D191</f>
        <v>0.0</v>
      </c>
      <c r="C12" s="122">
        <f>'16.Facility 5 Agri Input'!E191</f>
        <v>0.0</v>
      </c>
      <c r="D12" s="122">
        <f>'16.Facility 5 Agri Input'!F191</f>
        <v>0.0</v>
      </c>
      <c r="E12" s="122">
        <f>'16.Facility 5 Agri Input'!G191</f>
        <v>0.0</v>
      </c>
      <c r="F12" s="122">
        <f>'16.Facility 5 Agri Input'!H191</f>
        <v>0.0</v>
      </c>
      <c r="G12" s="122">
        <f>'16.Facility 5 Agri Input'!I191</f>
        <v>0.0</v>
      </c>
      <c r="H12" s="122">
        <f>'16.Facility 5 Agri Input'!J191</f>
        <v>0.0</v>
      </c>
    </row>
    <row r="13" spans="8:8">
      <c r="A13" s="120" t="s">
        <v>547</v>
      </c>
      <c r="B13" s="122">
        <f>'17.Facility 6 Horti Processing '!D159</f>
        <v>0.0</v>
      </c>
      <c r="C13" s="122">
        <f>'17.Facility 6 Horti Processing '!E159</f>
        <v>0.0</v>
      </c>
      <c r="D13" s="122">
        <f>'17.Facility 6 Horti Processing '!F159</f>
        <v>0.0</v>
      </c>
      <c r="E13" s="122">
        <f>'17.Facility 6 Horti Processing '!G159</f>
        <v>0.0</v>
      </c>
      <c r="F13" s="122">
        <f>'17.Facility 6 Horti Processing '!H159</f>
        <v>0.0</v>
      </c>
      <c r="G13" s="122">
        <f>'17.Facility 6 Horti Processing '!I159</f>
        <v>0.0</v>
      </c>
      <c r="H13" s="122">
        <f>'17.Facility 6 Horti Processing '!J159</f>
        <v>0.0</v>
      </c>
    </row>
    <row r="14" spans="8:8">
      <c r="A14" s="120"/>
      <c r="B14" s="122"/>
      <c r="C14" s="122"/>
      <c r="D14" s="122"/>
      <c r="E14" s="122"/>
      <c r="F14" s="122"/>
      <c r="G14" s="122"/>
      <c r="H14" s="122"/>
    </row>
    <row r="15" spans="8:8">
      <c r="A15" s="123" t="s">
        <v>144</v>
      </c>
      <c r="B15" s="124">
        <f>SUM(B8:B14)</f>
        <v>9.8416687528125E7</v>
      </c>
      <c r="C15" s="124">
        <f t="shared" si="0" ref="C15:H15">SUM(C8:C14)</f>
        <v>1.2025828572515625E8</v>
      </c>
      <c r="D15" s="124">
        <f t="shared" si="0"/>
        <v>1.3896177287688282E8</v>
      </c>
      <c r="E15" s="124">
        <f t="shared" si="0"/>
        <v>1.5923496302946916E8</v>
      </c>
      <c r="F15" s="124">
        <f t="shared" si="0"/>
        <v>1.8118806776512188E8</v>
      </c>
      <c r="G15" s="124">
        <f t="shared" si="0"/>
        <v>2.0493839556676626E8</v>
      </c>
      <c r="H15" s="124">
        <f t="shared" si="0"/>
        <v>2.3061078597916222E8</v>
      </c>
    </row>
    <row r="16" spans="8:8">
      <c r="A16" s="120"/>
      <c r="B16" s="122"/>
      <c r="C16" s="122"/>
      <c r="D16" s="122"/>
      <c r="E16" s="122"/>
      <c r="F16" s="122"/>
      <c r="G16" s="122"/>
      <c r="H16" s="122"/>
    </row>
    <row r="17" spans="8:8">
      <c r="A17" s="123" t="s">
        <v>314</v>
      </c>
      <c r="B17" s="122"/>
      <c r="C17" s="122"/>
      <c r="D17" s="122"/>
      <c r="E17" s="122"/>
      <c r="F17" s="122"/>
      <c r="G17" s="122"/>
      <c r="H17" s="122"/>
    </row>
    <row r="18" spans="8:8">
      <c r="A18" s="120" t="str">
        <f t="shared" si="1" ref="A18:A23">A8</f>
        <v>Faclitiy 1 - Cleaning &amp; Grading</v>
      </c>
      <c r="B18" s="122">
        <f>'12.Facility 1 - Trading'!D292</f>
        <v>8.97975763027875E7</v>
      </c>
      <c r="C18" s="122">
        <f>'12.Facility 1 - Trading'!E292</f>
        <v>1.0946557300888175E8</v>
      </c>
      <c r="D18" s="122">
        <f>'12.Facility 1 - Trading'!F292</f>
        <v>1.2648759038846204E8</v>
      </c>
      <c r="E18" s="122">
        <f>'12.Facility 1 - Trading'!G292</f>
        <v>1.4493814557347938E8</v>
      </c>
      <c r="F18" s="122">
        <f>'12.Facility 1 - Trading'!H292</f>
        <v>1.649175373010274E8</v>
      </c>
      <c r="G18" s="122">
        <f>'12.Facility 1 - Trading'!I292</f>
        <v>1.865325228373958E8</v>
      </c>
      <c r="H18" s="122">
        <f>'12.Facility 1 - Trading'!J292</f>
        <v>2.098967130841483E8</v>
      </c>
    </row>
    <row r="19" spans="8:8">
      <c r="A19" s="120" t="str">
        <f t="shared" si="1"/>
        <v>Faclitiy 2 - Processing Unit- Dal Mill</v>
      </c>
      <c r="B19" s="122">
        <f>'13.Facility 2 Grain Processing'!D169</f>
        <v>0.0</v>
      </c>
      <c r="C19" s="122">
        <f>'13.Facility 2 Grain Processing'!E169</f>
        <v>0.0</v>
      </c>
      <c r="D19" s="122">
        <f>'13.Facility 2 Grain Processing'!F169</f>
        <v>0.0</v>
      </c>
      <c r="E19" s="122">
        <f>'13.Facility 2 Grain Processing'!G169</f>
        <v>0.0</v>
      </c>
      <c r="F19" s="122">
        <f>'13.Facility 2 Grain Processing'!H169</f>
        <v>0.0</v>
      </c>
      <c r="G19" s="122">
        <f>'13.Facility 2 Grain Processing'!I169</f>
        <v>0.0</v>
      </c>
      <c r="H19" s="122">
        <f>'13.Facility 2 Grain Processing'!J169</f>
        <v>0.0</v>
      </c>
    </row>
    <row r="20" spans="8:8">
      <c r="A20" s="120" t="str">
        <f t="shared" si="1"/>
        <v>Faclitiy 3 - Warehouse</v>
      </c>
      <c r="B20" s="122">
        <f>'14. Facility 3 Warehouse'!D34</f>
        <v>0.0</v>
      </c>
      <c r="C20" s="122">
        <f>'14. Facility 3 Warehouse'!E34</f>
        <v>0.0</v>
      </c>
      <c r="D20" s="122">
        <f>'14. Facility 3 Warehouse'!F34</f>
        <v>0.0</v>
      </c>
      <c r="E20" s="122">
        <f>'14. Facility 3 Warehouse'!G34</f>
        <v>0.0</v>
      </c>
      <c r="F20" s="122">
        <f>'14. Facility 3 Warehouse'!H34</f>
        <v>0.0</v>
      </c>
      <c r="G20" s="122">
        <f>'14. Facility 3 Warehouse'!I34</f>
        <v>0.0</v>
      </c>
      <c r="H20" s="122">
        <f>'14. Facility 3 Warehouse'!J34</f>
        <v>0.0</v>
      </c>
    </row>
    <row r="21" spans="8:8">
      <c r="A21" s="120" t="str">
        <f t="shared" si="1"/>
        <v>Faclitiy 4 - Custom Hiring </v>
      </c>
      <c r="B21" s="122">
        <f>'15. Facility 4 Custom Hiring'!E49</f>
        <v>0.0</v>
      </c>
      <c r="C21" s="122">
        <f>'15. Facility 4 Custom Hiring'!F49</f>
        <v>0.0</v>
      </c>
      <c r="D21" s="122">
        <f>'15. Facility 4 Custom Hiring'!G49</f>
        <v>0.0</v>
      </c>
      <c r="E21" s="122">
        <f>'15. Facility 4 Custom Hiring'!H49</f>
        <v>0.0</v>
      </c>
      <c r="F21" s="122">
        <f>'15. Facility 4 Custom Hiring'!I49</f>
        <v>0.0</v>
      </c>
      <c r="G21" s="122">
        <f>'15. Facility 4 Custom Hiring'!J49</f>
        <v>0.0</v>
      </c>
      <c r="H21" s="122">
        <f>'15. Facility 4 Custom Hiring'!K49</f>
        <v>0.0</v>
      </c>
    </row>
    <row r="22" spans="8:8">
      <c r="A22" s="120" t="str">
        <f t="shared" si="1"/>
        <v>Faclitiy 5 - Agri Input Centre</v>
      </c>
      <c r="B22" s="122">
        <f>'16.Facility 5 Agri Input'!D262</f>
        <v>0.0</v>
      </c>
      <c r="C22" s="122">
        <f>'16.Facility 5 Agri Input'!E262</f>
        <v>0.0</v>
      </c>
      <c r="D22" s="122">
        <f>'16.Facility 5 Agri Input'!F262</f>
        <v>0.0</v>
      </c>
      <c r="E22" s="122">
        <f>'16.Facility 5 Agri Input'!G262</f>
        <v>0.0</v>
      </c>
      <c r="F22" s="122">
        <f>'16.Facility 5 Agri Input'!H262</f>
        <v>0.0</v>
      </c>
      <c r="G22" s="122">
        <f>'16.Facility 5 Agri Input'!I262</f>
        <v>0.0</v>
      </c>
      <c r="H22" s="122">
        <f>'16.Facility 5 Agri Input'!J262</f>
        <v>0.0</v>
      </c>
    </row>
    <row r="23" spans="8:8">
      <c r="A23" s="120" t="str">
        <f t="shared" si="1"/>
        <v>Facility 6 - Processing Unit - Horti Commodity</v>
      </c>
      <c r="B23" s="122">
        <f>'17.Facility 6 Horti Processing '!D177</f>
        <v>0.0</v>
      </c>
      <c r="C23" s="122">
        <f>'17.Facility 6 Horti Processing '!E177</f>
        <v>0.0</v>
      </c>
      <c r="D23" s="122">
        <f>'17.Facility 6 Horti Processing '!F177</f>
        <v>0.0</v>
      </c>
      <c r="E23" s="122">
        <f>'17.Facility 6 Horti Processing '!G177</f>
        <v>0.0</v>
      </c>
      <c r="F23" s="122">
        <f>'17.Facility 6 Horti Processing '!H177</f>
        <v>0.0</v>
      </c>
      <c r="G23" s="122">
        <f>'17.Facility 6 Horti Processing '!I177</f>
        <v>0.0</v>
      </c>
      <c r="H23" s="122">
        <f>'17.Facility 6 Horti Processing '!J177</f>
        <v>0.0</v>
      </c>
    </row>
    <row r="24" spans="8:8">
      <c r="A24" s="120"/>
      <c r="B24" s="122"/>
      <c r="C24" s="122"/>
      <c r="D24" s="122"/>
      <c r="E24" s="122"/>
      <c r="F24" s="122"/>
      <c r="G24" s="122"/>
      <c r="H24" s="122"/>
    </row>
    <row r="25" spans="8:8">
      <c r="A25" s="123" t="s">
        <v>325</v>
      </c>
      <c r="B25" s="124">
        <f>SUM(B18:B24)</f>
        <v>8.97975763027875E7</v>
      </c>
      <c r="C25" s="124">
        <f t="shared" si="2" ref="C25:H25">SUM(C18:C24)</f>
        <v>1.0946557300888175E8</v>
      </c>
      <c r="D25" s="124">
        <f t="shared" si="2"/>
        <v>1.2648759038846204E8</v>
      </c>
      <c r="E25" s="124">
        <f t="shared" si="2"/>
        <v>1.4493814557347938E8</v>
      </c>
      <c r="F25" s="124">
        <f t="shared" si="2"/>
        <v>1.649175373010274E8</v>
      </c>
      <c r="G25" s="124">
        <f t="shared" si="2"/>
        <v>1.865325228373958E8</v>
      </c>
      <c r="H25" s="124">
        <f t="shared" si="2"/>
        <v>2.098967130841483E8</v>
      </c>
    </row>
    <row r="26" spans="8:8">
      <c r="A26" s="120"/>
      <c r="B26" s="122"/>
      <c r="C26" s="122"/>
      <c r="D26" s="122"/>
      <c r="E26" s="122"/>
      <c r="F26" s="122"/>
      <c r="G26" s="122"/>
      <c r="H26" s="122"/>
    </row>
    <row r="27" spans="8:8">
      <c r="A27" s="123" t="s">
        <v>312</v>
      </c>
      <c r="B27" s="122"/>
      <c r="C27" s="122"/>
      <c r="D27" s="122"/>
      <c r="E27" s="122"/>
      <c r="F27" s="122"/>
      <c r="G27" s="122"/>
      <c r="H27" s="122"/>
    </row>
    <row r="28" spans="8:8">
      <c r="A28" s="120" t="str">
        <f t="shared" si="3" ref="A28:A33">A18</f>
        <v>Faclitiy 1 - Cleaning &amp; Grading</v>
      </c>
      <c r="B28" s="122">
        <f>'12.Facility 1 - Trading'!D301</f>
        <v>1314089.6893409998</v>
      </c>
      <c r="C28" s="122">
        <f>'12.Facility 1 - Trading'!E301</f>
        <v>1309743.908682</v>
      </c>
      <c r="D28" s="122">
        <f>'12.Facility 1 - Trading'!F301</f>
        <v>1306718.128023</v>
      </c>
      <c r="E28" s="122">
        <f>'12.Facility 1 - Trading'!G301</f>
        <v>1305078.347364</v>
      </c>
      <c r="F28" s="122">
        <f>'12.Facility 1 - Trading'!H301</f>
        <v>1304893.866705</v>
      </c>
      <c r="G28" s="122">
        <f>'12.Facility 1 - Trading'!I301</f>
        <v>1306237.451046</v>
      </c>
      <c r="H28" s="122">
        <f>'12.Facility 1 - Trading'!J301</f>
        <v>1309185.503637</v>
      </c>
    </row>
    <row r="29" spans="8:8">
      <c r="A29" s="120" t="str">
        <f t="shared" si="3"/>
        <v>Faclitiy 2 - Processing Unit- Dal Mill</v>
      </c>
      <c r="B29" s="122">
        <f>'13.Facility 2 Grain Processing'!D177</f>
        <v>0.0</v>
      </c>
      <c r="C29" s="122">
        <f>'13.Facility 2 Grain Processing'!E177</f>
        <v>0.0</v>
      </c>
      <c r="D29" s="122">
        <f>'13.Facility 2 Grain Processing'!F177</f>
        <v>0.0</v>
      </c>
      <c r="E29" s="122">
        <f>'13.Facility 2 Grain Processing'!G177</f>
        <v>0.0</v>
      </c>
      <c r="F29" s="122">
        <f>'13.Facility 2 Grain Processing'!H177</f>
        <v>0.0</v>
      </c>
      <c r="G29" s="122">
        <f>'13.Facility 2 Grain Processing'!I177</f>
        <v>0.0</v>
      </c>
      <c r="H29" s="122">
        <f>'13.Facility 2 Grain Processing'!J177</f>
        <v>0.0</v>
      </c>
    </row>
    <row r="30" spans="8:8">
      <c r="A30" s="120" t="str">
        <f t="shared" si="3"/>
        <v>Faclitiy 3 - Warehouse</v>
      </c>
      <c r="B30" s="122">
        <f>'14. Facility 3 Warehouse'!D43</f>
        <v>0.0</v>
      </c>
      <c r="C30" s="122">
        <f>'14. Facility 3 Warehouse'!E43</f>
        <v>0.0</v>
      </c>
      <c r="D30" s="122">
        <f>'14. Facility 3 Warehouse'!F43</f>
        <v>0.0</v>
      </c>
      <c r="E30" s="122">
        <f>'14. Facility 3 Warehouse'!G43</f>
        <v>0.0</v>
      </c>
      <c r="F30" s="122">
        <f>'14. Facility 3 Warehouse'!H43</f>
        <v>0.0</v>
      </c>
      <c r="G30" s="122">
        <f>'14. Facility 3 Warehouse'!I43</f>
        <v>0.0</v>
      </c>
      <c r="H30" s="122">
        <f>'14. Facility 3 Warehouse'!J43</f>
        <v>0.0</v>
      </c>
    </row>
    <row r="31" spans="8:8">
      <c r="A31" s="120" t="str">
        <f t="shared" si="3"/>
        <v>Faclitiy 4 - Custom Hiring </v>
      </c>
      <c r="B31" s="122">
        <f>'15. Facility 4 Custom Hiring'!E56</f>
        <v>0.0</v>
      </c>
      <c r="C31" s="122">
        <f>'15. Facility 4 Custom Hiring'!F56</f>
        <v>0.0</v>
      </c>
      <c r="D31" s="122">
        <f>'15. Facility 4 Custom Hiring'!G56</f>
        <v>0.0</v>
      </c>
      <c r="E31" s="122">
        <f>'15. Facility 4 Custom Hiring'!H56</f>
        <v>0.0</v>
      </c>
      <c r="F31" s="122">
        <f>'15. Facility 4 Custom Hiring'!I56</f>
        <v>0.0</v>
      </c>
      <c r="G31" s="122">
        <f>'15. Facility 4 Custom Hiring'!J56</f>
        <v>0.0</v>
      </c>
      <c r="H31" s="122">
        <f>'15. Facility 4 Custom Hiring'!K56</f>
        <v>0.0</v>
      </c>
    </row>
    <row r="32" spans="8:8">
      <c r="A32" s="120" t="str">
        <f t="shared" si="3"/>
        <v>Faclitiy 5 - Agri Input Centre</v>
      </c>
      <c r="B32" s="122">
        <f>'16.Facility 5 Agri Input'!D273</f>
        <v>0.0</v>
      </c>
      <c r="C32" s="122">
        <f>'16.Facility 5 Agri Input'!E273</f>
        <v>0.0</v>
      </c>
      <c r="D32" s="122">
        <f>'16.Facility 5 Agri Input'!F273</f>
        <v>0.0</v>
      </c>
      <c r="E32" s="122">
        <f>'16.Facility 5 Agri Input'!G273</f>
        <v>0.0</v>
      </c>
      <c r="F32" s="122">
        <f>'16.Facility 5 Agri Input'!H273</f>
        <v>0.0</v>
      </c>
      <c r="G32" s="122">
        <f>'16.Facility 5 Agri Input'!I273</f>
        <v>0.0</v>
      </c>
      <c r="H32" s="122">
        <f>'16.Facility 5 Agri Input'!J273</f>
        <v>0.0</v>
      </c>
    </row>
    <row r="33" spans="8:8">
      <c r="A33" s="120" t="str">
        <f t="shared" si="3"/>
        <v>Facility 6 - Processing Unit - Horti Commodity</v>
      </c>
      <c r="B33" s="122">
        <f>'17.Facility 6 Horti Processing '!D185</f>
        <v>0.0</v>
      </c>
      <c r="C33" s="122">
        <f>'17.Facility 6 Horti Processing '!E185</f>
        <v>0.0</v>
      </c>
      <c r="D33" s="122">
        <f>'17.Facility 6 Horti Processing '!F185</f>
        <v>0.0</v>
      </c>
      <c r="E33" s="122">
        <f>'17.Facility 6 Horti Processing '!G185</f>
        <v>0.0</v>
      </c>
      <c r="F33" s="122">
        <f>'17.Facility 6 Horti Processing '!H185</f>
        <v>0.0</v>
      </c>
      <c r="G33" s="122">
        <f>'17.Facility 6 Horti Processing '!I185</f>
        <v>0.0</v>
      </c>
      <c r="H33" s="122">
        <f>'17.Facility 6 Horti Processing '!J185</f>
        <v>0.0</v>
      </c>
    </row>
    <row r="34" spans="8:8">
      <c r="A34" s="120"/>
      <c r="B34" s="122"/>
      <c r="C34" s="122"/>
      <c r="D34" s="122"/>
      <c r="E34" s="122"/>
      <c r="F34" s="122"/>
      <c r="G34" s="122"/>
      <c r="H34" s="122"/>
    </row>
    <row r="35" spans="8:8">
      <c r="A35" s="120" t="s">
        <v>9</v>
      </c>
      <c r="B35" s="122">
        <f>'3.Other Exp &amp; Taxes'!E23</f>
        <v>2293340.0</v>
      </c>
      <c r="C35" s="122">
        <f>'3.Other Exp &amp; Taxes'!F23</f>
        <v>2483007.0</v>
      </c>
      <c r="D35" s="122">
        <f>'3.Other Exp &amp; Taxes'!G23</f>
        <v>2689657.3500000006</v>
      </c>
      <c r="E35" s="122">
        <f>'3.Other Exp &amp; Taxes'!H23</f>
        <v>2914890.2175000007</v>
      </c>
      <c r="F35" s="122">
        <f>'3.Other Exp &amp; Taxes'!I23</f>
        <v>3160459.728375001</v>
      </c>
      <c r="G35" s="122">
        <f>'3.Other Exp &amp; Taxes'!J23</f>
        <v>3428290.2147937515</v>
      </c>
      <c r="H35" s="122">
        <f>'3.Other Exp &amp; Taxes'!K23</f>
        <v>3720492.9755334393</v>
      </c>
    </row>
    <row r="36" spans="8:8">
      <c r="A36" s="123" t="s">
        <v>329</v>
      </c>
      <c r="B36" s="124">
        <f t="shared" si="4" ref="B36:H36">SUM(B28:B35)</f>
        <v>3607429.689341</v>
      </c>
      <c r="C36" s="124">
        <f t="shared" si="4"/>
        <v>3792750.908682</v>
      </c>
      <c r="D36" s="124">
        <f t="shared" si="4"/>
        <v>3996375.4780230005</v>
      </c>
      <c r="E36" s="124">
        <f t="shared" si="4"/>
        <v>4219968.564864</v>
      </c>
      <c r="F36" s="124">
        <f t="shared" si="4"/>
        <v>4465353.595080001</v>
      </c>
      <c r="G36" s="124">
        <f t="shared" si="4"/>
        <v>4734527.665839751</v>
      </c>
      <c r="H36" s="124">
        <f t="shared" si="4"/>
        <v>5029678.47917044</v>
      </c>
    </row>
    <row r="37" spans="8:8">
      <c r="A37" s="120"/>
      <c r="B37" s="122"/>
      <c r="C37" s="122"/>
      <c r="D37" s="122"/>
      <c r="E37" s="122"/>
      <c r="F37" s="122"/>
      <c r="G37" s="122"/>
      <c r="H37" s="122"/>
    </row>
    <row r="38" spans="8:8">
      <c r="A38" s="123" t="s">
        <v>334</v>
      </c>
      <c r="B38" s="124">
        <f t="shared" si="5" ref="B38:H38">B25+B36</f>
        <v>9.340500599212849E7</v>
      </c>
      <c r="C38" s="124">
        <f t="shared" si="5"/>
        <v>1.13258323917564E8</v>
      </c>
      <c r="D38" s="124">
        <f t="shared" si="5"/>
        <v>1.30483965866485E8</v>
      </c>
      <c r="E38" s="124">
        <f t="shared" si="5"/>
        <v>1.49158114138343E8</v>
      </c>
      <c r="F38" s="124">
        <f t="shared" si="5"/>
        <v>1.69382890896107E8</v>
      </c>
      <c r="G38" s="124">
        <f t="shared" si="5"/>
        <v>1.9126705050323576E8</v>
      </c>
      <c r="H38" s="124">
        <f t="shared" si="5"/>
        <v>2.1492639156331843E8</v>
      </c>
    </row>
    <row r="39" spans="8:8">
      <c r="A39" s="120"/>
      <c r="B39" s="122"/>
      <c r="C39" s="122"/>
      <c r="D39" s="122"/>
      <c r="E39" s="122"/>
      <c r="F39" s="122"/>
      <c r="G39" s="122"/>
      <c r="H39" s="122"/>
    </row>
    <row r="40" spans="8:8">
      <c r="A40" s="123" t="s">
        <v>137</v>
      </c>
      <c r="B40" s="124">
        <f t="shared" si="6" ref="B40:H40">B15-B38</f>
        <v>5011681.535996497</v>
      </c>
      <c r="C40" s="124">
        <f t="shared" si="6"/>
        <v>6999961.80759199</v>
      </c>
      <c r="D40" s="124">
        <f t="shared" si="6"/>
        <v>8477807.010398</v>
      </c>
      <c r="E40" s="124">
        <f t="shared" si="6"/>
        <v>1.0076848891126007E7</v>
      </c>
      <c r="F40" s="124">
        <f t="shared" si="6"/>
        <v>1.1805176869015008E7</v>
      </c>
      <c r="G40" s="124">
        <f t="shared" si="6"/>
        <v>1.3671345063529998E7</v>
      </c>
      <c r="H40" s="124">
        <f t="shared" si="6"/>
        <v>1.5684394415843993E7</v>
      </c>
      <c r="J40" s="237"/>
    </row>
    <row r="41" spans="8:8">
      <c r="A41" s="120"/>
      <c r="B41" s="122"/>
      <c r="C41" s="122"/>
      <c r="D41" s="122"/>
      <c r="E41" s="122"/>
      <c r="F41" s="122"/>
      <c r="G41" s="122"/>
      <c r="H41" s="122"/>
    </row>
    <row r="42" spans="8:8">
      <c r="A42" s="136" t="s">
        <v>17</v>
      </c>
      <c r="B42" s="122">
        <f>'3.Other Exp &amp; Taxes'!C66</f>
        <v>1024859.3553</v>
      </c>
      <c r="C42" s="122">
        <f>'3.Other Exp &amp; Taxes'!D66</f>
        <v>1024859.3553</v>
      </c>
      <c r="D42" s="122">
        <f>'3.Other Exp &amp; Taxes'!E66</f>
        <v>1024859.3553</v>
      </c>
      <c r="E42" s="122">
        <f>'3.Other Exp &amp; Taxes'!F66</f>
        <v>1024859.3553</v>
      </c>
      <c r="F42" s="122">
        <f>'3.Other Exp &amp; Taxes'!G66</f>
        <v>1024859.3553</v>
      </c>
      <c r="G42" s="122">
        <f>'3.Other Exp &amp; Taxes'!H66</f>
        <v>1024859.3553</v>
      </c>
      <c r="H42" s="122">
        <f>'3.Other Exp &amp; Taxes'!I66</f>
        <v>1024859.3553</v>
      </c>
      <c r="J42" s="237"/>
    </row>
    <row r="43" spans="8:8">
      <c r="A43" s="136" t="s">
        <v>138</v>
      </c>
      <c r="B43" s="122">
        <f>'3.Other Exp &amp; Taxes'!C86</f>
        <v>272278.4</v>
      </c>
      <c r="C43" s="122">
        <f>'3.Other Exp &amp; Taxes'!D86</f>
        <v>272278.4</v>
      </c>
      <c r="D43" s="122">
        <f>'3.Other Exp &amp; Taxes'!E86</f>
        <v>272278.4</v>
      </c>
      <c r="E43" s="122">
        <f>'3.Other Exp &amp; Taxes'!F86</f>
        <v>272278.4</v>
      </c>
      <c r="F43" s="122">
        <f>'3.Other Exp &amp; Taxes'!G86</f>
        <v>272278.4</v>
      </c>
      <c r="G43" s="122">
        <f>'3.Other Exp &amp; Taxes'!H86</f>
        <v>0.0</v>
      </c>
      <c r="H43" s="122">
        <f>'3.Other Exp &amp; Taxes'!I86</f>
        <v>0.0</v>
      </c>
    </row>
    <row r="44" spans="8:8">
      <c r="A44" s="120"/>
      <c r="B44" s="122"/>
      <c r="C44" s="122"/>
      <c r="D44" s="122"/>
      <c r="E44" s="122"/>
      <c r="F44" s="122"/>
      <c r="G44" s="122"/>
      <c r="H44" s="122"/>
    </row>
    <row r="45" spans="8:8">
      <c r="A45" s="123" t="s">
        <v>139</v>
      </c>
      <c r="B45" s="124">
        <f>B40-B42-B43</f>
        <v>3714543.7806965</v>
      </c>
      <c r="C45" s="124">
        <f t="shared" si="7" ref="C45:H45">C40-C42-C43</f>
        <v>5702824.052291989</v>
      </c>
      <c r="D45" s="124">
        <f t="shared" si="7"/>
        <v>7180669.255097999</v>
      </c>
      <c r="E45" s="124">
        <f t="shared" si="7"/>
        <v>8779711.13582601</v>
      </c>
      <c r="F45" s="124">
        <f t="shared" si="7"/>
        <v>1.0508039113715E7</v>
      </c>
      <c r="G45" s="124">
        <f t="shared" si="7"/>
        <v>1.264648570823E7</v>
      </c>
      <c r="H45" s="124">
        <f t="shared" si="7"/>
        <v>1.4659535060544E7</v>
      </c>
    </row>
    <row r="46" spans="8:8">
      <c r="A46" s="120"/>
      <c r="B46" s="122"/>
      <c r="C46" s="122"/>
      <c r="D46" s="122"/>
      <c r="E46" s="122"/>
      <c r="F46" s="122"/>
      <c r="G46" s="122"/>
      <c r="H46" s="122"/>
    </row>
    <row r="47" spans="8:8">
      <c r="A47" s="120" t="s">
        <v>24</v>
      </c>
      <c r="B47" s="122">
        <f>'8.Cash Flow '!C26+'8.Cash Flow '!C28</f>
        <v>1285549.947072459</v>
      </c>
      <c r="C47" s="122">
        <f>'8.Cash Flow '!D26+'8.Cash Flow '!D28</f>
        <v>1565466.851504026</v>
      </c>
      <c r="D47" s="122">
        <f>'8.Cash Flow '!E26+'8.Cash Flow '!E28</f>
        <v>1623868.387020965</v>
      </c>
      <c r="E47" s="122">
        <f>'8.Cash Flow '!F26+'8.Cash Flow '!F28</f>
        <v>1687249.691899644</v>
      </c>
      <c r="F47" s="122">
        <f>'8.Cash Flow '!G26+'8.Cash Flow '!G28</f>
        <v>1755864.144758792</v>
      </c>
      <c r="G47" s="122">
        <f>'8.Cash Flow '!H26+'8.Cash Flow '!H28</f>
        <v>1829969.829362549</v>
      </c>
      <c r="H47" s="122">
        <f>'8.Cash Flow '!I26+'8.Cash Flow '!I28</f>
        <v>1909828.6924790856</v>
      </c>
    </row>
    <row r="48" spans="8:8">
      <c r="A48" s="120"/>
      <c r="B48" s="122"/>
      <c r="C48" s="122"/>
      <c r="D48" s="122"/>
      <c r="E48" s="122"/>
      <c r="F48" s="122"/>
      <c r="G48" s="122"/>
      <c r="H48" s="122"/>
    </row>
    <row r="49" spans="8:8">
      <c r="A49" s="120" t="s">
        <v>25</v>
      </c>
      <c r="B49" s="122">
        <f>B45-B47</f>
        <v>2428993.83362404</v>
      </c>
      <c r="C49" s="122">
        <f t="shared" si="8" ref="C49:H49">C45-C47</f>
        <v>4137357.2007879606</v>
      </c>
      <c r="D49" s="122">
        <f t="shared" si="8"/>
        <v>5556800.86807703</v>
      </c>
      <c r="E49" s="122">
        <f t="shared" si="8"/>
        <v>7092461.44392637</v>
      </c>
      <c r="F49" s="122">
        <f t="shared" si="8"/>
        <v>8752174.96895621</v>
      </c>
      <c r="G49" s="122">
        <f t="shared" si="8"/>
        <v>1.081651587886745E7</v>
      </c>
      <c r="H49" s="122">
        <f t="shared" si="8"/>
        <v>1.2749706368064908E7</v>
      </c>
    </row>
    <row r="50" spans="8:8">
      <c r="A50" s="120" t="s">
        <v>26</v>
      </c>
      <c r="B50" s="122">
        <f>'3.Other Exp &amp; Taxes'!B99</f>
        <v>123540.57012025047</v>
      </c>
      <c r="C50" s="122">
        <f>'3.Other Exp &amp; Taxes'!C99</f>
        <v>655141.7492328695</v>
      </c>
      <c r="D50" s="122">
        <f>'3.Other Exp &amp; Taxes'!D99</f>
        <v>1101384.049350528</v>
      </c>
      <c r="E50" s="122">
        <f>'3.Other Exp &amp; Taxes'!E99</f>
        <v>1568851.5273684813</v>
      </c>
      <c r="F50" s="122">
        <f>'3.Other Exp &amp; Taxes'!F99</f>
        <v>2060671.5542299952</v>
      </c>
      <c r="G50" s="122">
        <f>'3.Other Exp &amp; Taxes'!G99</f>
        <v>2650745.851778705</v>
      </c>
      <c r="H50" s="122">
        <f>'3.Other Exp &amp; Taxes'!H99</f>
        <v>3200604.9852500074</v>
      </c>
    </row>
    <row r="51" spans="8:8">
      <c r="A51" s="123" t="s">
        <v>28</v>
      </c>
      <c r="B51" s="122">
        <f>B49-B50</f>
        <v>2305453.26350379</v>
      </c>
      <c r="C51" s="122">
        <f>C49-C50</f>
        <v>3482215.45155509</v>
      </c>
      <c r="D51" s="122">
        <f>D49-D50</f>
        <v>4455416.8187265005</v>
      </c>
      <c r="E51" s="122">
        <f>E49-E50</f>
        <v>5523609.916557889</v>
      </c>
      <c r="F51" s="122">
        <f>F49-F50</f>
        <v>6691503.41472621</v>
      </c>
      <c r="G51" s="122">
        <f t="shared" si="9" ref="G51:H51">G49-G50</f>
        <v>8165770.027088789</v>
      </c>
      <c r="H51" s="122">
        <f t="shared" si="9"/>
        <v>9549101.382814892</v>
      </c>
    </row>
    <row r="52" spans="8:8">
      <c r="A52" s="115"/>
      <c r="B52" s="184"/>
      <c r="C52" s="184"/>
      <c r="D52" s="184"/>
      <c r="E52" s="184"/>
      <c r="F52" s="184"/>
      <c r="G52" s="184"/>
      <c r="H52" s="184"/>
    </row>
    <row r="53" spans="8:8">
      <c r="A53" s="115" t="s">
        <v>527</v>
      </c>
      <c r="B53" s="184">
        <f>B51</f>
        <v>2305453.26350379</v>
      </c>
      <c r="C53" s="184">
        <f t="shared" si="10" ref="C53:H53">B53+C51</f>
        <v>5787668.71505888</v>
      </c>
      <c r="D53" s="184">
        <f t="shared" si="10"/>
        <v>1.024308553378538E7</v>
      </c>
      <c r="E53" s="184">
        <f t="shared" si="10"/>
        <v>1.5766695450343292E7</v>
      </c>
      <c r="F53" s="184">
        <f t="shared" si="10"/>
        <v>2.245819886506951E7</v>
      </c>
      <c r="G53" s="184">
        <f t="shared" si="10"/>
        <v>3.0623968892158292E7</v>
      </c>
      <c r="H53" s="184">
        <f t="shared" si="10"/>
        <v>4.017307027497319E7</v>
      </c>
    </row>
    <row r="56" spans="8:8" ht="32.85" customHeight="1">
      <c r="A56" s="238" t="s">
        <v>417</v>
      </c>
      <c r="B56" s="238"/>
      <c r="C56" s="238"/>
      <c r="D56" s="238"/>
      <c r="E56" s="238"/>
      <c r="F56" s="238"/>
      <c r="G56" s="238"/>
      <c r="H56" s="238"/>
      <c r="I56" s="238"/>
    </row>
    <row r="58" spans="8:8">
      <c r="A58" s="239"/>
    </row>
  </sheetData>
  <mergeCells count="2">
    <mergeCell ref="A2:H2"/>
    <mergeCell ref="A56:I56"/>
  </mergeCells>
  <pageMargins left="0.7" right="0.7" top="0.75" bottom="0.75" header="0.3" footer="0.3"/>
  <pageSetup paperSize="9" scale="61"/>
</worksheet>
</file>

<file path=xl/worksheets/sheet8.xml><?xml version="1.0" encoding="utf-8"?>
<worksheet xmlns:r="http://schemas.openxmlformats.org/officeDocument/2006/relationships" xmlns="http://schemas.openxmlformats.org/spreadsheetml/2006/main">
  <dimension ref="A1:S50"/>
  <sheetViews>
    <sheetView workbookViewId="0" zoomScale="80">
      <selection activeCell="G53" sqref="G53"/>
    </sheetView>
  </sheetViews>
  <sheetFormatPr defaultRowHeight="15.0" defaultColWidth="10"/>
  <cols>
    <col min="1" max="1" customWidth="1" width="37.140625" style="240"/>
    <col min="2" max="2" customWidth="1" bestFit="1" width="18.425781" style="240"/>
    <col min="3" max="3" customWidth="1" bestFit="1" width="12.425781" style="240"/>
    <col min="4" max="6" customWidth="1" bestFit="1" width="13.5703125" style="240"/>
    <col min="7" max="8" customWidth="1" bestFit="1" width="12.425781" style="240"/>
    <col min="9" max="9" customWidth="0" width="9.140625" style="240"/>
    <col min="10" max="10" customWidth="1" bestFit="1" width="32.85547" style="240"/>
    <col min="11" max="16" customWidth="0" bestFit="1" width="8.855469" style="240"/>
    <col min="17" max="17" customWidth="1" bestFit="1" width="10.140625" style="240"/>
    <col min="18" max="256" customWidth="0" width="9.140625" style="240"/>
    <col min="257" max="257" customWidth="1" width="37.140625" style="240"/>
    <col min="258" max="258" customWidth="1" bestFit="1" width="18.425781" style="240"/>
    <col min="259" max="262" customWidth="1" bestFit="1" width="12.425781" style="240"/>
    <col min="263" max="263" customWidth="1" bestFit="1" width="11.855469" style="240"/>
    <col min="264" max="512" customWidth="0" width="9.140625" style="240"/>
    <col min="513" max="513" customWidth="1" width="37.140625" style="240"/>
    <col min="514" max="514" customWidth="1" bestFit="1" width="18.425781" style="240"/>
    <col min="515" max="518" customWidth="1" bestFit="1" width="12.425781" style="240"/>
    <col min="519" max="519" customWidth="1" bestFit="1" width="11.855469" style="240"/>
    <col min="520" max="768" customWidth="0" width="9.140625" style="240"/>
    <col min="769" max="769" customWidth="1" width="37.140625" style="240"/>
    <col min="770" max="770" customWidth="1" bestFit="1" width="18.425781" style="240"/>
    <col min="771" max="774" customWidth="1" bestFit="1" width="12.425781" style="240"/>
    <col min="775" max="775" customWidth="1" bestFit="1" width="11.855469" style="240"/>
    <col min="776" max="1024" customWidth="0" width="9.140625" style="240"/>
    <col min="1025" max="1025" customWidth="1" width="37.140625" style="240"/>
    <col min="1026" max="1026" customWidth="1" bestFit="1" width="18.425781" style="240"/>
    <col min="1027" max="1030" customWidth="1" bestFit="1" width="12.425781" style="240"/>
    <col min="1031" max="1031" customWidth="1" bestFit="1" width="11.855469" style="240"/>
    <col min="1032" max="1280" customWidth="0" width="9.140625" style="240"/>
    <col min="1281" max="1281" customWidth="1" width="37.140625" style="240"/>
    <col min="1282" max="1282" customWidth="1" bestFit="1" width="18.425781" style="240"/>
    <col min="1283" max="1286" customWidth="1" bestFit="1" width="12.425781" style="240"/>
    <col min="1287" max="1287" customWidth="1" bestFit="1" width="11.855469" style="240"/>
    <col min="1288" max="1536" customWidth="0" width="9.140625" style="240"/>
    <col min="1537" max="1537" customWidth="1" width="37.140625" style="240"/>
    <col min="1538" max="1538" customWidth="1" bestFit="1" width="18.425781" style="240"/>
    <col min="1539" max="1542" customWidth="1" bestFit="1" width="12.425781" style="240"/>
    <col min="1543" max="1543" customWidth="1" bestFit="1" width="11.855469" style="240"/>
    <col min="1544" max="1792" customWidth="0" width="9.140625" style="240"/>
    <col min="1793" max="1793" customWidth="1" width="37.140625" style="240"/>
    <col min="1794" max="1794" customWidth="1" bestFit="1" width="18.425781" style="240"/>
    <col min="1795" max="1798" customWidth="1" bestFit="1" width="12.425781" style="240"/>
    <col min="1799" max="1799" customWidth="1" bestFit="1" width="11.855469" style="240"/>
    <col min="1800" max="2048" customWidth="0" width="9.140625" style="240"/>
    <col min="2049" max="2049" customWidth="1" width="37.140625" style="240"/>
    <col min="2050" max="2050" customWidth="1" bestFit="1" width="18.425781" style="240"/>
    <col min="2051" max="2054" customWidth="1" bestFit="1" width="12.425781" style="240"/>
    <col min="2055" max="2055" customWidth="1" bestFit="1" width="11.855469" style="240"/>
    <col min="2056" max="2304" customWidth="0" width="9.140625" style="240"/>
    <col min="2305" max="2305" customWidth="1" width="37.140625" style="240"/>
    <col min="2306" max="2306" customWidth="1" bestFit="1" width="18.425781" style="240"/>
    <col min="2307" max="2310" customWidth="1" bestFit="1" width="12.425781" style="240"/>
    <col min="2311" max="2311" customWidth="1" bestFit="1" width="11.855469" style="240"/>
    <col min="2312" max="2560" customWidth="0" width="9.140625" style="240"/>
    <col min="2561" max="2561" customWidth="1" width="37.140625" style="240"/>
    <col min="2562" max="2562" customWidth="1" bestFit="1" width="18.425781" style="240"/>
    <col min="2563" max="2566" customWidth="1" bestFit="1" width="12.425781" style="240"/>
    <col min="2567" max="2567" customWidth="1" bestFit="1" width="11.855469" style="240"/>
    <col min="2568" max="2816" customWidth="0" width="9.140625" style="240"/>
    <col min="2817" max="2817" customWidth="1" width="37.140625" style="240"/>
    <col min="2818" max="2818" customWidth="1" bestFit="1" width="18.425781" style="240"/>
    <col min="2819" max="2822" customWidth="1" bestFit="1" width="12.425781" style="240"/>
    <col min="2823" max="2823" customWidth="1" bestFit="1" width="11.855469" style="240"/>
    <col min="2824" max="3072" customWidth="0" width="9.140625" style="240"/>
    <col min="3073" max="3073" customWidth="1" width="37.140625" style="240"/>
    <col min="3074" max="3074" customWidth="1" bestFit="1" width="18.425781" style="240"/>
    <col min="3075" max="3078" customWidth="1" bestFit="1" width="12.425781" style="240"/>
    <col min="3079" max="3079" customWidth="1" bestFit="1" width="11.855469" style="240"/>
    <col min="3080" max="3328" customWidth="0" width="9.140625" style="240"/>
    <col min="3329" max="3329" customWidth="1" width="37.140625" style="240"/>
    <col min="3330" max="3330" customWidth="1" bestFit="1" width="18.425781" style="240"/>
    <col min="3331" max="3334" customWidth="1" bestFit="1" width="12.425781" style="240"/>
    <col min="3335" max="3335" customWidth="1" bestFit="1" width="11.855469" style="240"/>
    <col min="3336" max="3584" customWidth="0" width="9.140625" style="240"/>
    <col min="3585" max="3585" customWidth="1" width="37.140625" style="240"/>
    <col min="3586" max="3586" customWidth="1" bestFit="1" width="18.425781" style="240"/>
    <col min="3587" max="3590" customWidth="1" bestFit="1" width="12.425781" style="240"/>
    <col min="3591" max="3591" customWidth="1" bestFit="1" width="11.855469" style="240"/>
    <col min="3592" max="3840" customWidth="0" width="9.140625" style="240"/>
    <col min="3841" max="3841" customWidth="1" width="37.140625" style="240"/>
    <col min="3842" max="3842" customWidth="1" bestFit="1" width="18.425781" style="240"/>
    <col min="3843" max="3846" customWidth="1" bestFit="1" width="12.425781" style="240"/>
    <col min="3847" max="3847" customWidth="1" bestFit="1" width="11.855469" style="240"/>
    <col min="3848" max="4096" customWidth="0" width="9.140625" style="240"/>
    <col min="4097" max="4097" customWidth="1" width="37.140625" style="240"/>
    <col min="4098" max="4098" customWidth="1" bestFit="1" width="18.425781" style="240"/>
    <col min="4099" max="4102" customWidth="1" bestFit="1" width="12.425781" style="240"/>
    <col min="4103" max="4103" customWidth="1" bestFit="1" width="11.855469" style="240"/>
    <col min="4104" max="4352" customWidth="0" width="9.140625" style="240"/>
    <col min="4353" max="4353" customWidth="1" width="37.140625" style="240"/>
    <col min="4354" max="4354" customWidth="1" bestFit="1" width="18.425781" style="240"/>
    <col min="4355" max="4358" customWidth="1" bestFit="1" width="12.425781" style="240"/>
    <col min="4359" max="4359" customWidth="1" bestFit="1" width="11.855469" style="240"/>
    <col min="4360" max="4608" customWidth="0" width="9.140625" style="240"/>
    <col min="4609" max="4609" customWidth="1" width="37.140625" style="240"/>
    <col min="4610" max="4610" customWidth="1" bestFit="1" width="18.425781" style="240"/>
    <col min="4611" max="4614" customWidth="1" bestFit="1" width="12.425781" style="240"/>
    <col min="4615" max="4615" customWidth="1" bestFit="1" width="11.855469" style="240"/>
    <col min="4616" max="4864" customWidth="0" width="9.140625" style="240"/>
    <col min="4865" max="4865" customWidth="1" width="37.140625" style="240"/>
    <col min="4866" max="4866" customWidth="1" bestFit="1" width="18.425781" style="240"/>
    <col min="4867" max="4870" customWidth="1" bestFit="1" width="12.425781" style="240"/>
    <col min="4871" max="4871" customWidth="1" bestFit="1" width="11.855469" style="240"/>
    <col min="4872" max="5120" customWidth="0" width="9.140625" style="240"/>
    <col min="5121" max="5121" customWidth="1" width="37.140625" style="240"/>
    <col min="5122" max="5122" customWidth="1" bestFit="1" width="18.425781" style="240"/>
    <col min="5123" max="5126" customWidth="1" bestFit="1" width="12.425781" style="240"/>
    <col min="5127" max="5127" customWidth="1" bestFit="1" width="11.855469" style="240"/>
    <col min="5128" max="5376" customWidth="0" width="9.140625" style="240"/>
    <col min="5377" max="5377" customWidth="1" width="37.140625" style="240"/>
    <col min="5378" max="5378" customWidth="1" bestFit="1" width="18.425781" style="240"/>
    <col min="5379" max="5382" customWidth="1" bestFit="1" width="12.425781" style="240"/>
    <col min="5383" max="5383" customWidth="1" bestFit="1" width="11.855469" style="240"/>
    <col min="5384" max="5632" customWidth="0" width="9.140625" style="240"/>
    <col min="5633" max="5633" customWidth="1" width="37.140625" style="240"/>
    <col min="5634" max="5634" customWidth="1" bestFit="1" width="18.425781" style="240"/>
    <col min="5635" max="5638" customWidth="1" bestFit="1" width="12.425781" style="240"/>
    <col min="5639" max="5639" customWidth="1" bestFit="1" width="11.855469" style="240"/>
    <col min="5640" max="5888" customWidth="0" width="9.140625" style="240"/>
    <col min="5889" max="5889" customWidth="1" width="37.140625" style="240"/>
    <col min="5890" max="5890" customWidth="1" bestFit="1" width="18.425781" style="240"/>
    <col min="5891" max="5894" customWidth="1" bestFit="1" width="12.425781" style="240"/>
    <col min="5895" max="5895" customWidth="1" bestFit="1" width="11.855469" style="240"/>
    <col min="5896" max="6144" customWidth="0" width="9.140625" style="240"/>
    <col min="6145" max="6145" customWidth="1" width="37.140625" style="240"/>
    <col min="6146" max="6146" customWidth="1" bestFit="1" width="18.425781" style="240"/>
    <col min="6147" max="6150" customWidth="1" bestFit="1" width="12.425781" style="240"/>
    <col min="6151" max="6151" customWidth="1" bestFit="1" width="11.855469" style="240"/>
    <col min="6152" max="6400" customWidth="0" width="9.140625" style="240"/>
    <col min="6401" max="6401" customWidth="1" width="37.140625" style="240"/>
    <col min="6402" max="6402" customWidth="1" bestFit="1" width="18.425781" style="240"/>
    <col min="6403" max="6406" customWidth="1" bestFit="1" width="12.425781" style="240"/>
    <col min="6407" max="6407" customWidth="1" bestFit="1" width="11.855469" style="240"/>
    <col min="6408" max="6656" customWidth="0" width="9.140625" style="240"/>
    <col min="6657" max="6657" customWidth="1" width="37.140625" style="240"/>
    <col min="6658" max="6658" customWidth="1" bestFit="1" width="18.425781" style="240"/>
    <col min="6659" max="6662" customWidth="1" bestFit="1" width="12.425781" style="240"/>
    <col min="6663" max="6663" customWidth="1" bestFit="1" width="11.855469" style="240"/>
    <col min="6664" max="6912" customWidth="0" width="9.140625" style="240"/>
    <col min="6913" max="6913" customWidth="1" width="37.140625" style="240"/>
    <col min="6914" max="6914" customWidth="1" bestFit="1" width="18.425781" style="240"/>
    <col min="6915" max="6918" customWidth="1" bestFit="1" width="12.425781" style="240"/>
    <col min="6919" max="6919" customWidth="1" bestFit="1" width="11.855469" style="240"/>
    <col min="6920" max="7168" customWidth="0" width="9.140625" style="240"/>
    <col min="7169" max="7169" customWidth="1" width="37.140625" style="240"/>
    <col min="7170" max="7170" customWidth="1" bestFit="1" width="18.425781" style="240"/>
    <col min="7171" max="7174" customWidth="1" bestFit="1" width="12.425781" style="240"/>
    <col min="7175" max="7175" customWidth="1" bestFit="1" width="11.855469" style="240"/>
    <col min="7176" max="7424" customWidth="0" width="9.140625" style="240"/>
    <col min="7425" max="7425" customWidth="1" width="37.140625" style="240"/>
    <col min="7426" max="7426" customWidth="1" bestFit="1" width="18.425781" style="240"/>
    <col min="7427" max="7430" customWidth="1" bestFit="1" width="12.425781" style="240"/>
    <col min="7431" max="7431" customWidth="1" bestFit="1" width="11.855469" style="240"/>
    <col min="7432" max="7680" customWidth="0" width="9.140625" style="240"/>
    <col min="7681" max="7681" customWidth="1" width="37.140625" style="240"/>
    <col min="7682" max="7682" customWidth="1" bestFit="1" width="18.425781" style="240"/>
    <col min="7683" max="7686" customWidth="1" bestFit="1" width="12.425781" style="240"/>
    <col min="7687" max="7687" customWidth="1" bestFit="1" width="11.855469" style="240"/>
    <col min="7688" max="7936" customWidth="0" width="9.140625" style="240"/>
    <col min="7937" max="7937" customWidth="1" width="37.140625" style="240"/>
    <col min="7938" max="7938" customWidth="1" bestFit="1" width="18.425781" style="240"/>
    <col min="7939" max="7942" customWidth="1" bestFit="1" width="12.425781" style="240"/>
    <col min="7943" max="7943" customWidth="1" bestFit="1" width="11.855469" style="240"/>
    <col min="7944" max="8192" customWidth="0" width="9.140625" style="240"/>
    <col min="8193" max="8193" customWidth="1" width="37.140625" style="240"/>
    <col min="8194" max="8194" customWidth="1" bestFit="1" width="18.425781" style="240"/>
    <col min="8195" max="8198" customWidth="1" bestFit="1" width="12.425781" style="240"/>
    <col min="8199" max="8199" customWidth="1" bestFit="1" width="11.855469" style="240"/>
    <col min="8200" max="8448" customWidth="0" width="9.140625" style="240"/>
    <col min="8449" max="8449" customWidth="1" width="37.140625" style="240"/>
    <col min="8450" max="8450" customWidth="1" bestFit="1" width="18.425781" style="240"/>
    <col min="8451" max="8454" customWidth="1" bestFit="1" width="12.425781" style="240"/>
    <col min="8455" max="8455" customWidth="1" bestFit="1" width="11.855469" style="240"/>
    <col min="8456" max="8704" customWidth="0" width="9.140625" style="240"/>
    <col min="8705" max="8705" customWidth="1" width="37.140625" style="240"/>
    <col min="8706" max="8706" customWidth="1" bestFit="1" width="18.425781" style="240"/>
    <col min="8707" max="8710" customWidth="1" bestFit="1" width="12.425781" style="240"/>
    <col min="8711" max="8711" customWidth="1" bestFit="1" width="11.855469" style="240"/>
    <col min="8712" max="8960" customWidth="0" width="9.140625" style="240"/>
    <col min="8961" max="8961" customWidth="1" width="37.140625" style="240"/>
    <col min="8962" max="8962" customWidth="1" bestFit="1" width="18.425781" style="240"/>
    <col min="8963" max="8966" customWidth="1" bestFit="1" width="12.425781" style="240"/>
    <col min="8967" max="8967" customWidth="1" bestFit="1" width="11.855469" style="240"/>
    <col min="8968" max="9216" customWidth="0" width="9.140625" style="240"/>
    <col min="9217" max="9217" customWidth="1" width="37.140625" style="240"/>
    <col min="9218" max="9218" customWidth="1" bestFit="1" width="18.425781" style="240"/>
    <col min="9219" max="9222" customWidth="1" bestFit="1" width="12.425781" style="240"/>
    <col min="9223" max="9223" customWidth="1" bestFit="1" width="11.855469" style="240"/>
    <col min="9224" max="9472" customWidth="0" width="9.140625" style="240"/>
    <col min="9473" max="9473" customWidth="1" width="37.140625" style="240"/>
    <col min="9474" max="9474" customWidth="1" bestFit="1" width="18.425781" style="240"/>
    <col min="9475" max="9478" customWidth="1" bestFit="1" width="12.425781" style="240"/>
    <col min="9479" max="9479" customWidth="1" bestFit="1" width="11.855469" style="240"/>
    <col min="9480" max="9728" customWidth="0" width="9.140625" style="240"/>
    <col min="9729" max="9729" customWidth="1" width="37.140625" style="240"/>
    <col min="9730" max="9730" customWidth="1" bestFit="1" width="18.425781" style="240"/>
    <col min="9731" max="9734" customWidth="1" bestFit="1" width="12.425781" style="240"/>
    <col min="9735" max="9735" customWidth="1" bestFit="1" width="11.855469" style="240"/>
    <col min="9736" max="9984" customWidth="0" width="9.140625" style="240"/>
    <col min="9985" max="9985" customWidth="1" width="37.140625" style="240"/>
    <col min="9986" max="9986" customWidth="1" bestFit="1" width="18.425781" style="240"/>
    <col min="9987" max="9990" customWidth="1" bestFit="1" width="12.425781" style="240"/>
    <col min="9991" max="9991" customWidth="1" bestFit="1" width="11.855469" style="240"/>
    <col min="9992" max="10240" customWidth="0" width="9.140625" style="240"/>
    <col min="10241" max="10241" customWidth="1" width="37.140625" style="240"/>
    <col min="10242" max="10242" customWidth="1" bestFit="1" width="18.425781" style="240"/>
    <col min="10243" max="10246" customWidth="1" bestFit="1" width="12.425781" style="240"/>
    <col min="10247" max="10247" customWidth="1" bestFit="1" width="11.855469" style="240"/>
    <col min="10248" max="10496" customWidth="0" width="9.140625" style="240"/>
    <col min="10497" max="10497" customWidth="1" width="37.140625" style="240"/>
    <col min="10498" max="10498" customWidth="1" bestFit="1" width="18.425781" style="240"/>
    <col min="10499" max="10502" customWidth="1" bestFit="1" width="12.425781" style="240"/>
    <col min="10503" max="10503" customWidth="1" bestFit="1" width="11.855469" style="240"/>
    <col min="10504" max="10752" customWidth="0" width="9.140625" style="240"/>
    <col min="10753" max="10753" customWidth="1" width="37.140625" style="240"/>
    <col min="10754" max="10754" customWidth="1" bestFit="1" width="18.425781" style="240"/>
    <col min="10755" max="10758" customWidth="1" bestFit="1" width="12.425781" style="240"/>
    <col min="10759" max="10759" customWidth="1" bestFit="1" width="11.855469" style="240"/>
    <col min="10760" max="11008" customWidth="0" width="9.140625" style="240"/>
    <col min="11009" max="11009" customWidth="1" width="37.140625" style="240"/>
    <col min="11010" max="11010" customWidth="1" bestFit="1" width="18.425781" style="240"/>
    <col min="11011" max="11014" customWidth="1" bestFit="1" width="12.425781" style="240"/>
    <col min="11015" max="11015" customWidth="1" bestFit="1" width="11.855469" style="240"/>
    <col min="11016" max="11264" customWidth="0" width="9.140625" style="240"/>
    <col min="11265" max="11265" customWidth="1" width="37.140625" style="240"/>
    <col min="11266" max="11266" customWidth="1" bestFit="1" width="18.425781" style="240"/>
    <col min="11267" max="11270" customWidth="1" bestFit="1" width="12.425781" style="240"/>
    <col min="11271" max="11271" customWidth="1" bestFit="1" width="11.855469" style="240"/>
    <col min="11272" max="11520" customWidth="0" width="9.140625" style="240"/>
    <col min="11521" max="11521" customWidth="1" width="37.140625" style="240"/>
    <col min="11522" max="11522" customWidth="1" bestFit="1" width="18.425781" style="240"/>
    <col min="11523" max="11526" customWidth="1" bestFit="1" width="12.425781" style="240"/>
    <col min="11527" max="11527" customWidth="1" bestFit="1" width="11.855469" style="240"/>
    <col min="11528" max="11776" customWidth="0" width="9.140625" style="240"/>
    <col min="11777" max="11777" customWidth="1" width="37.140625" style="240"/>
    <col min="11778" max="11778" customWidth="1" bestFit="1" width="18.425781" style="240"/>
    <col min="11779" max="11782" customWidth="1" bestFit="1" width="12.425781" style="240"/>
    <col min="11783" max="11783" customWidth="1" bestFit="1" width="11.855469" style="240"/>
    <col min="11784" max="12032" customWidth="0" width="9.140625" style="240"/>
    <col min="12033" max="12033" customWidth="1" width="37.140625" style="240"/>
    <col min="12034" max="12034" customWidth="1" bestFit="1" width="18.425781" style="240"/>
    <col min="12035" max="12038" customWidth="1" bestFit="1" width="12.425781" style="240"/>
    <col min="12039" max="12039" customWidth="1" bestFit="1" width="11.855469" style="240"/>
    <col min="12040" max="12288" customWidth="0" width="9.140625" style="240"/>
    <col min="12289" max="12289" customWidth="1" width="37.140625" style="240"/>
    <col min="12290" max="12290" customWidth="1" bestFit="1" width="18.425781" style="240"/>
    <col min="12291" max="12294" customWidth="1" bestFit="1" width="12.425781" style="240"/>
    <col min="12295" max="12295" customWidth="1" bestFit="1" width="11.855469" style="240"/>
    <col min="12296" max="12544" customWidth="0" width="9.140625" style="240"/>
    <col min="12545" max="12545" customWidth="1" width="37.140625" style="240"/>
    <col min="12546" max="12546" customWidth="1" bestFit="1" width="18.425781" style="240"/>
    <col min="12547" max="12550" customWidth="1" bestFit="1" width="12.425781" style="240"/>
    <col min="12551" max="12551" customWidth="1" bestFit="1" width="11.855469" style="240"/>
    <col min="12552" max="12800" customWidth="0" width="9.140625" style="240"/>
    <col min="12801" max="12801" customWidth="1" width="37.140625" style="240"/>
    <col min="12802" max="12802" customWidth="1" bestFit="1" width="18.425781" style="240"/>
    <col min="12803" max="12806" customWidth="1" bestFit="1" width="12.425781" style="240"/>
    <col min="12807" max="12807" customWidth="1" bestFit="1" width="11.855469" style="240"/>
    <col min="12808" max="13056" customWidth="0" width="9.140625" style="240"/>
    <col min="13057" max="13057" customWidth="1" width="37.140625" style="240"/>
    <col min="13058" max="13058" customWidth="1" bestFit="1" width="18.425781" style="240"/>
    <col min="13059" max="13062" customWidth="1" bestFit="1" width="12.425781" style="240"/>
    <col min="13063" max="13063" customWidth="1" bestFit="1" width="11.855469" style="240"/>
    <col min="13064" max="13312" customWidth="0" width="9.140625" style="240"/>
    <col min="13313" max="13313" customWidth="1" width="37.140625" style="240"/>
    <col min="13314" max="13314" customWidth="1" bestFit="1" width="18.425781" style="240"/>
    <col min="13315" max="13318" customWidth="1" bestFit="1" width="12.425781" style="240"/>
    <col min="13319" max="13319" customWidth="1" bestFit="1" width="11.855469" style="240"/>
    <col min="13320" max="13568" customWidth="0" width="9.140625" style="240"/>
    <col min="13569" max="13569" customWidth="1" width="37.140625" style="240"/>
    <col min="13570" max="13570" customWidth="1" bestFit="1" width="18.425781" style="240"/>
    <col min="13571" max="13574" customWidth="1" bestFit="1" width="12.425781" style="240"/>
    <col min="13575" max="13575" customWidth="1" bestFit="1" width="11.855469" style="240"/>
    <col min="13576" max="13824" customWidth="0" width="9.140625" style="240"/>
    <col min="13825" max="13825" customWidth="1" width="37.140625" style="240"/>
    <col min="13826" max="13826" customWidth="1" bestFit="1" width="18.425781" style="240"/>
    <col min="13827" max="13830" customWidth="1" bestFit="1" width="12.425781" style="240"/>
    <col min="13831" max="13831" customWidth="1" bestFit="1" width="11.855469" style="240"/>
    <col min="13832" max="14080" customWidth="0" width="9.140625" style="240"/>
    <col min="14081" max="14081" customWidth="1" width="37.140625" style="240"/>
    <col min="14082" max="14082" customWidth="1" bestFit="1" width="18.425781" style="240"/>
    <col min="14083" max="14086" customWidth="1" bestFit="1" width="12.425781" style="240"/>
    <col min="14087" max="14087" customWidth="1" bestFit="1" width="11.855469" style="240"/>
    <col min="14088" max="14336" customWidth="0" width="9.140625" style="240"/>
    <col min="14337" max="14337" customWidth="1" width="37.140625" style="240"/>
    <col min="14338" max="14338" customWidth="1" bestFit="1" width="18.425781" style="240"/>
    <col min="14339" max="14342" customWidth="1" bestFit="1" width="12.425781" style="240"/>
    <col min="14343" max="14343" customWidth="1" bestFit="1" width="11.855469" style="240"/>
    <col min="14344" max="14592" customWidth="0" width="9.140625" style="240"/>
    <col min="14593" max="14593" customWidth="1" width="37.140625" style="240"/>
    <col min="14594" max="14594" customWidth="1" bestFit="1" width="18.425781" style="240"/>
    <col min="14595" max="14598" customWidth="1" bestFit="1" width="12.425781" style="240"/>
    <col min="14599" max="14599" customWidth="1" bestFit="1" width="11.855469" style="240"/>
    <col min="14600" max="14848" customWidth="0" width="9.140625" style="240"/>
    <col min="14849" max="14849" customWidth="1" width="37.140625" style="240"/>
    <col min="14850" max="14850" customWidth="1" bestFit="1" width="18.425781" style="240"/>
    <col min="14851" max="14854" customWidth="1" bestFit="1" width="12.425781" style="240"/>
    <col min="14855" max="14855" customWidth="1" bestFit="1" width="11.855469" style="240"/>
    <col min="14856" max="15104" customWidth="0" width="9.140625" style="240"/>
    <col min="15105" max="15105" customWidth="1" width="37.140625" style="240"/>
    <col min="15106" max="15106" customWidth="1" bestFit="1" width="18.425781" style="240"/>
    <col min="15107" max="15110" customWidth="1" bestFit="1" width="12.425781" style="240"/>
    <col min="15111" max="15111" customWidth="1" bestFit="1" width="11.855469" style="240"/>
    <col min="15112" max="15360" customWidth="0" width="9.140625" style="240"/>
    <col min="15361" max="15361" customWidth="1" width="37.140625" style="240"/>
    <col min="15362" max="15362" customWidth="1" bestFit="1" width="18.425781" style="240"/>
    <col min="15363" max="15366" customWidth="1" bestFit="1" width="12.425781" style="240"/>
    <col min="15367" max="15367" customWidth="1" bestFit="1" width="11.855469" style="240"/>
    <col min="15368" max="15616" customWidth="0" width="9.140625" style="240"/>
    <col min="15617" max="15617" customWidth="1" width="37.140625" style="240"/>
    <col min="15618" max="15618" customWidth="1" bestFit="1" width="18.425781" style="240"/>
    <col min="15619" max="15622" customWidth="1" bestFit="1" width="12.425781" style="240"/>
    <col min="15623" max="15623" customWidth="1" bestFit="1" width="11.855469" style="240"/>
    <col min="15624" max="15872" customWidth="0" width="9.140625" style="240"/>
    <col min="15873" max="15873" customWidth="1" width="37.140625" style="240"/>
    <col min="15874" max="15874" customWidth="1" bestFit="1" width="18.425781" style="240"/>
    <col min="15875" max="15878" customWidth="1" bestFit="1" width="12.425781" style="240"/>
    <col min="15879" max="15879" customWidth="1" bestFit="1" width="11.855469" style="240"/>
    <col min="15880" max="16128" customWidth="0" width="9.140625" style="240"/>
    <col min="16129" max="16129" customWidth="1" width="37.140625" style="240"/>
    <col min="16130" max="16130" customWidth="1" bestFit="1" width="18.425781" style="240"/>
    <col min="16131" max="16134" customWidth="1" bestFit="1" width="12.425781" style="240"/>
    <col min="16135" max="16135" customWidth="1" bestFit="1" width="11.855469" style="240"/>
    <col min="16136" max="16384" customWidth="0" width="9.140625" style="240"/>
  </cols>
  <sheetData>
    <row r="1" spans="8:8">
      <c r="A1" s="125"/>
      <c r="B1" s="125"/>
      <c r="C1" s="125"/>
      <c r="D1" s="125"/>
      <c r="E1" s="125"/>
      <c r="F1" s="125"/>
    </row>
    <row r="2" spans="8:8" ht="18.75">
      <c r="A2" s="241" t="s">
        <v>581</v>
      </c>
      <c r="B2" s="50"/>
      <c r="C2" s="50"/>
      <c r="D2" s="50"/>
      <c r="E2" s="50"/>
      <c r="F2" s="50"/>
      <c r="G2" s="50"/>
      <c r="H2" s="50"/>
      <c r="I2" s="242"/>
    </row>
    <row r="3" spans="8:8">
      <c r="A3" s="243"/>
      <c r="B3" s="244"/>
      <c r="C3" s="244"/>
      <c r="D3" s="244"/>
      <c r="E3" s="244"/>
      <c r="F3" s="244"/>
    </row>
    <row r="4" spans="8:8">
      <c r="A4" s="245" t="s">
        <v>0</v>
      </c>
      <c r="B4" s="246" t="s">
        <v>2</v>
      </c>
      <c r="C4" s="246" t="s">
        <v>3</v>
      </c>
      <c r="D4" s="246" t="s">
        <v>4</v>
      </c>
      <c r="E4" s="246" t="s">
        <v>5</v>
      </c>
      <c r="F4" s="246" t="s">
        <v>6</v>
      </c>
      <c r="G4" s="119" t="s">
        <v>169</v>
      </c>
      <c r="H4" s="119" t="s">
        <v>168</v>
      </c>
    </row>
    <row r="5" spans="8:8" s="247" ht="15.0" customFormat="1">
      <c r="A5" s="248"/>
      <c r="B5" s="249"/>
      <c r="C5" s="250"/>
      <c r="D5" s="250"/>
      <c r="E5" s="250"/>
      <c r="F5" s="250"/>
      <c r="G5" s="250"/>
      <c r="H5" s="250"/>
    </row>
    <row r="6" spans="8:8">
      <c r="A6" s="251" t="s">
        <v>49</v>
      </c>
      <c r="B6" s="252"/>
      <c r="C6" s="252"/>
      <c r="D6" s="252"/>
      <c r="E6" s="252"/>
      <c r="F6" s="252"/>
      <c r="G6" s="252"/>
      <c r="H6" s="252"/>
    </row>
    <row r="7" spans="8:8">
      <c r="A7" s="253" t="s">
        <v>50</v>
      </c>
      <c r="B7" s="254"/>
      <c r="C7" s="254"/>
      <c r="D7" s="254"/>
      <c r="E7" s="254"/>
      <c r="F7" s="254"/>
      <c r="G7" s="254"/>
      <c r="H7" s="254"/>
    </row>
    <row r="8" spans="8:8">
      <c r="A8" s="255" t="s">
        <v>251</v>
      </c>
      <c r="B8" s="256">
        <f>'8.Cash Flow '!C33</f>
        <v>3088932.237323</v>
      </c>
      <c r="C8" s="256">
        <f>'8.Cash Flow '!D33</f>
        <v>6777442.606076</v>
      </c>
      <c r="D8" s="256">
        <f>'8.Cash Flow '!E33</f>
        <v>1.134861492443299E7</v>
      </c>
      <c r="E8" s="256">
        <f>'8.Cash Flow '!F33</f>
        <v>1.688992619605E7</v>
      </c>
      <c r="F8" s="256">
        <f>'8.Cash Flow '!G33</f>
        <v>2.349293837562303E7</v>
      </c>
      <c r="G8" s="256">
        <f>'8.Cash Flow '!H33</f>
        <v>3.1182932244734988E7</v>
      </c>
      <c r="H8" s="256">
        <f>'8.Cash Flow '!I33</f>
        <v>4.013170546207198E7</v>
      </c>
      <c r="K8" s="257"/>
      <c r="L8" s="257"/>
      <c r="M8" s="257"/>
      <c r="N8" s="257"/>
      <c r="O8" s="257"/>
      <c r="P8" s="257"/>
      <c r="Q8" s="257"/>
      <c r="R8" s="257"/>
    </row>
    <row r="9" spans="8:8">
      <c r="A9" s="258" t="s">
        <v>252</v>
      </c>
      <c r="B9" s="259"/>
      <c r="C9" s="259"/>
      <c r="D9" s="259"/>
      <c r="E9" s="259"/>
      <c r="F9" s="259"/>
      <c r="G9" s="259"/>
      <c r="H9" s="259"/>
      <c r="K9" s="257"/>
      <c r="L9" s="257"/>
      <c r="M9" s="257"/>
      <c r="N9" s="257"/>
      <c r="O9" s="257"/>
      <c r="P9" s="257"/>
      <c r="Q9" s="257"/>
      <c r="R9" s="257"/>
    </row>
    <row r="10" spans="8:8">
      <c r="A10" s="258" t="s">
        <v>620</v>
      </c>
      <c r="B10" s="259"/>
      <c r="C10" s="259"/>
      <c r="D10" s="259"/>
      <c r="E10" s="259"/>
      <c r="F10" s="259"/>
      <c r="G10" s="259"/>
      <c r="H10" s="259"/>
      <c r="K10" s="257"/>
      <c r="L10" s="257"/>
      <c r="M10" s="257"/>
      <c r="N10" s="257"/>
      <c r="O10" s="257"/>
      <c r="P10" s="257"/>
      <c r="Q10" s="257"/>
      <c r="R10" s="257"/>
    </row>
    <row r="11" spans="8:8">
      <c r="A11" s="253" t="s">
        <v>253</v>
      </c>
      <c r="B11" s="256">
        <f t="shared" si="0" ref="B11:H11">SUM(B8:B10)</f>
        <v>3088932.237323</v>
      </c>
      <c r="C11" s="256">
        <f t="shared" si="0"/>
        <v>6777442.606076</v>
      </c>
      <c r="D11" s="256">
        <f t="shared" si="0"/>
        <v>1.134861492443299E7</v>
      </c>
      <c r="E11" s="256">
        <f t="shared" si="0"/>
        <v>1.688992619605E7</v>
      </c>
      <c r="F11" s="256">
        <f t="shared" si="0"/>
        <v>2.349293837562303E7</v>
      </c>
      <c r="G11" s="256">
        <f t="shared" si="0"/>
        <v>3.1182932244734988E7</v>
      </c>
      <c r="H11" s="256">
        <f t="shared" si="0"/>
        <v>4.013170546207198E7</v>
      </c>
    </row>
    <row r="12" spans="8:8">
      <c r="A12" s="253"/>
      <c r="B12" s="259"/>
      <c r="C12" s="259"/>
      <c r="D12" s="259"/>
      <c r="E12" s="259"/>
      <c r="F12" s="259"/>
      <c r="G12" s="259"/>
      <c r="H12" s="259"/>
      <c r="J12" s="257"/>
      <c r="K12" s="257"/>
      <c r="L12" s="257"/>
      <c r="M12" s="257"/>
      <c r="N12" s="257"/>
      <c r="O12" s="257"/>
      <c r="P12" s="257"/>
      <c r="Q12" s="257"/>
    </row>
    <row r="13" spans="8:8">
      <c r="A13" s="260" t="s">
        <v>254</v>
      </c>
      <c r="B13" s="259">
        <f>'3.Other Exp &amp; Taxes'!C65</f>
        <v>2.7227849E7</v>
      </c>
      <c r="C13" s="259">
        <f>'3.Other Exp &amp; Taxes'!D65</f>
        <v>2.62029896447E7</v>
      </c>
      <c r="D13" s="259">
        <f>'3.Other Exp &amp; Taxes'!E65</f>
        <v>2.51781302894E7</v>
      </c>
      <c r="E13" s="259">
        <f>'3.Other Exp &amp; Taxes'!F65</f>
        <v>2.41532709341E7</v>
      </c>
      <c r="F13" s="259">
        <f>'3.Other Exp &amp; Taxes'!G65</f>
        <v>2.31284115788E7</v>
      </c>
      <c r="G13" s="259">
        <f>'3.Other Exp &amp; Taxes'!H65</f>
        <v>2.21035522235E7</v>
      </c>
      <c r="H13" s="259">
        <f>'3.Other Exp &amp; Taxes'!I65</f>
        <v>2.10786928682E7</v>
      </c>
    </row>
    <row r="14" spans="8:8">
      <c r="A14" s="260" t="s">
        <v>255</v>
      </c>
      <c r="B14" s="259">
        <f>'3.Other Exp &amp; Taxes'!C66</f>
        <v>1024859.3553</v>
      </c>
      <c r="C14" s="259">
        <f>'3.Other Exp &amp; Taxes'!D66</f>
        <v>1024859.3553</v>
      </c>
      <c r="D14" s="259">
        <f>'3.Other Exp &amp; Taxes'!E66</f>
        <v>1024859.3553</v>
      </c>
      <c r="E14" s="259">
        <f>'3.Other Exp &amp; Taxes'!F66</f>
        <v>1024859.3553</v>
      </c>
      <c r="F14" s="259">
        <f>'3.Other Exp &amp; Taxes'!G66</f>
        <v>1024859.3553</v>
      </c>
      <c r="G14" s="259">
        <f>'3.Other Exp &amp; Taxes'!H66</f>
        <v>1024859.3553</v>
      </c>
      <c r="H14" s="259">
        <f>'3.Other Exp &amp; Taxes'!I66</f>
        <v>1024859.3553</v>
      </c>
      <c r="K14" s="257"/>
      <c r="L14" s="257"/>
      <c r="M14" s="257"/>
      <c r="N14" s="257"/>
      <c r="O14" s="257"/>
      <c r="P14" s="257"/>
      <c r="Q14" s="257"/>
    </row>
    <row r="15" spans="8:8" s="244" ht="15.0" customFormat="1">
      <c r="A15" s="253" t="s">
        <v>200</v>
      </c>
      <c r="B15" s="256">
        <f t="shared" si="1" ref="B15:H15">B13-B14</f>
        <v>2.62029896447E7</v>
      </c>
      <c r="C15" s="256">
        <f t="shared" si="1"/>
        <v>2.5178130289399996E7</v>
      </c>
      <c r="D15" s="256">
        <f t="shared" si="1"/>
        <v>2.41532709341E7</v>
      </c>
      <c r="E15" s="256">
        <f t="shared" si="1"/>
        <v>2.3128411578799997E7</v>
      </c>
      <c r="F15" s="256">
        <f t="shared" si="1"/>
        <v>2.21035522235E7</v>
      </c>
      <c r="G15" s="256">
        <f t="shared" si="1"/>
        <v>2.1078692868199997E7</v>
      </c>
      <c r="H15" s="256">
        <f t="shared" si="1"/>
        <v>2.00538335129E7</v>
      </c>
    </row>
    <row r="16" spans="8:8" s="244" ht="15.0" customFormat="1">
      <c r="A16" s="253"/>
      <c r="B16" s="256"/>
      <c r="C16" s="256"/>
      <c r="D16" s="256"/>
      <c r="E16" s="256"/>
      <c r="F16" s="256"/>
      <c r="G16" s="256"/>
      <c r="H16" s="256"/>
    </row>
    <row r="17" spans="8:8" s="244" ht="15.0" customFormat="1">
      <c r="A17" s="261"/>
      <c r="B17" s="256"/>
      <c r="C17" s="256"/>
      <c r="D17" s="256"/>
      <c r="E17" s="256"/>
      <c r="F17" s="256"/>
      <c r="G17" s="256"/>
      <c r="H17" s="256"/>
    </row>
    <row r="18" spans="8:8" s="244" ht="15.0" customFormat="1">
      <c r="A18" s="253" t="s">
        <v>529</v>
      </c>
      <c r="B18" s="256">
        <f>'8.Cash Flow '!C20-'6.Cons Profit &amp; Loss'!B43</f>
        <v>1089113.6</v>
      </c>
      <c r="C18" s="256">
        <f>B18-'6.Cons Profit &amp; Loss'!C43</f>
        <v>816835.2000000001</v>
      </c>
      <c r="D18" s="256">
        <f>C18-'6.Cons Profit &amp; Loss'!D43</f>
        <v>544556.7999999999</v>
      </c>
      <c r="E18" s="256">
        <f>D18-'6.Cons Profit &amp; Loss'!E43</f>
        <v>272278.4</v>
      </c>
      <c r="F18" s="256">
        <f>E18-'6.Cons Profit &amp; Loss'!F43</f>
        <v>0.0</v>
      </c>
      <c r="G18" s="256">
        <f>F18-'6.Cons Profit &amp; Loss'!G43</f>
        <v>0.0</v>
      </c>
      <c r="H18" s="256">
        <f>G18-'6.Cons Profit &amp; Loss'!H43</f>
        <v>0.0</v>
      </c>
    </row>
    <row r="19" spans="8:8">
      <c r="A19" s="260"/>
      <c r="B19" s="259"/>
      <c r="C19" s="259"/>
      <c r="D19" s="259"/>
      <c r="E19" s="259"/>
      <c r="F19" s="259"/>
      <c r="G19" s="259"/>
      <c r="H19" s="259"/>
    </row>
    <row r="20" spans="8:8">
      <c r="A20" s="261" t="s">
        <v>257</v>
      </c>
      <c r="B20" s="262">
        <f t="shared" si="2" ref="B20:H20">B11+B15+B17+B18</f>
        <v>3.0381035482023E7</v>
      </c>
      <c r="C20" s="262">
        <f t="shared" si="2"/>
        <v>3.2772408095475998E7</v>
      </c>
      <c r="D20" s="262">
        <f t="shared" si="2"/>
        <v>3.6046442658533E7</v>
      </c>
      <c r="E20" s="262">
        <f t="shared" si="2"/>
        <v>4.029061617485E7</v>
      </c>
      <c r="F20" s="262">
        <f t="shared" si="2"/>
        <v>4.5596490599123E7</v>
      </c>
      <c r="G20" s="262">
        <f t="shared" si="2"/>
        <v>5.2261625112935E7</v>
      </c>
      <c r="H20" s="262">
        <f t="shared" si="2"/>
        <v>6.0185538974972E7</v>
      </c>
    </row>
    <row r="21" spans="8:8">
      <c r="A21" s="248"/>
      <c r="B21" s="263"/>
      <c r="C21" s="263"/>
      <c r="D21" s="263"/>
      <c r="E21" s="263"/>
      <c r="F21" s="263"/>
      <c r="G21" s="263"/>
      <c r="H21" s="263"/>
    </row>
    <row r="22" spans="8:8">
      <c r="A22" s="251" t="s">
        <v>258</v>
      </c>
      <c r="B22" s="264"/>
      <c r="C22" s="264"/>
      <c r="D22" s="264"/>
      <c r="E22" s="264"/>
      <c r="F22" s="264"/>
      <c r="G22" s="264"/>
      <c r="H22" s="264"/>
    </row>
    <row r="23" spans="8:8">
      <c r="A23" s="253" t="s">
        <v>259</v>
      </c>
      <c r="B23" s="264"/>
      <c r="C23" s="264"/>
      <c r="D23" s="264"/>
      <c r="E23" s="264"/>
      <c r="F23" s="264"/>
      <c r="G23" s="264"/>
      <c r="H23" s="264"/>
    </row>
    <row r="24" spans="8:8">
      <c r="A24" s="258" t="s">
        <v>260</v>
      </c>
      <c r="B24" s="256"/>
      <c r="C24" s="256"/>
      <c r="D24" s="256"/>
      <c r="E24" s="256"/>
      <c r="F24" s="256"/>
      <c r="G24" s="256"/>
      <c r="H24" s="256"/>
    </row>
    <row r="25" spans="8:8">
      <c r="A25" s="258" t="s">
        <v>261</v>
      </c>
      <c r="B25" s="263"/>
      <c r="C25" s="263"/>
      <c r="D25" s="263"/>
      <c r="E25" s="263"/>
      <c r="F25" s="263"/>
      <c r="G25" s="263"/>
      <c r="H25" s="263"/>
    </row>
    <row r="26" spans="8:8" s="247" ht="15.0" customFormat="1">
      <c r="A26" s="258" t="s">
        <v>262</v>
      </c>
      <c r="B26" s="256"/>
      <c r="C26" s="256"/>
      <c r="D26" s="256"/>
      <c r="E26" s="256"/>
      <c r="F26" s="256"/>
      <c r="G26" s="256"/>
      <c r="H26" s="256"/>
    </row>
    <row r="27" spans="8:8" s="247" ht="15.0" customFormat="1">
      <c r="A27" s="253" t="s">
        <v>263</v>
      </c>
      <c r="B27" s="262">
        <f t="shared" si="3" ref="B27:H27">SUM(B24:B26)</f>
        <v>0.0</v>
      </c>
      <c r="C27" s="262">
        <f t="shared" si="3"/>
        <v>0.0</v>
      </c>
      <c r="D27" s="262">
        <f t="shared" si="3"/>
        <v>0.0</v>
      </c>
      <c r="E27" s="262">
        <f t="shared" si="3"/>
        <v>0.0</v>
      </c>
      <c r="F27" s="262">
        <f t="shared" si="3"/>
        <v>0.0</v>
      </c>
      <c r="G27" s="262">
        <f t="shared" si="3"/>
        <v>0.0</v>
      </c>
      <c r="H27" s="262">
        <f t="shared" si="3"/>
        <v>0.0</v>
      </c>
    </row>
    <row r="28" spans="8:8" s="247" ht="15.0" customFormat="1">
      <c r="A28" s="253" t="s">
        <v>264</v>
      </c>
      <c r="B28" s="262">
        <f>'4.TL repayment sch'!G21</f>
        <v>8063113.518519556</v>
      </c>
      <c r="C28" s="262">
        <f>'4.TL repayment sch'!G33</f>
        <v>6972270.680417543</v>
      </c>
      <c r="D28" s="262">
        <f>'4.TL repayment sch'!G45</f>
        <v>5790888.424748558</v>
      </c>
      <c r="E28" s="262">
        <f>'4.TL repayment sch'!G57</f>
        <v>4511452.024507891</v>
      </c>
      <c r="F28" s="262">
        <f>'4.TL repayment sch'!G69</f>
        <v>3125823.034055684</v>
      </c>
      <c r="G28" s="262">
        <f>'4.TL repayment sch'!G81</f>
        <v>1625187.5207777421</v>
      </c>
      <c r="H28" s="262" t="e">
        <f>'[1]Term Loan'!J72+'[1]Term Loan'!S72</f>
        <v>#VALUE!</v>
      </c>
    </row>
    <row r="29" spans="8:8" s="247" ht="15.0" customFormat="1">
      <c r="A29" s="253" t="s">
        <v>265</v>
      </c>
      <c r="B29" s="262"/>
      <c r="C29" s="262"/>
      <c r="D29" s="262"/>
      <c r="E29" s="262"/>
      <c r="F29" s="262"/>
      <c r="G29" s="262"/>
      <c r="H29" s="262"/>
    </row>
    <row r="30" spans="8:8" s="247" ht="15.0" customFormat="1">
      <c r="A30" s="253"/>
      <c r="B30" s="265"/>
      <c r="C30" s="265"/>
      <c r="D30" s="265"/>
      <c r="E30" s="265"/>
      <c r="F30" s="265"/>
      <c r="G30" s="265"/>
      <c r="H30" s="265"/>
    </row>
    <row r="31" spans="8:8">
      <c r="A31" s="261" t="s">
        <v>266</v>
      </c>
      <c r="B31" s="262">
        <f t="shared" si="4" ref="B31:H31">SUM(B27:B29)</f>
        <v>8063113.518519556</v>
      </c>
      <c r="C31" s="262">
        <f t="shared" si="4"/>
        <v>6972270.680417543</v>
      </c>
      <c r="D31" s="262">
        <f t="shared" si="4"/>
        <v>5790888.424748558</v>
      </c>
      <c r="E31" s="262">
        <f t="shared" si="4"/>
        <v>4511452.024507891</v>
      </c>
      <c r="F31" s="262">
        <f t="shared" si="4"/>
        <v>3125823.034055684</v>
      </c>
      <c r="G31" s="262">
        <f t="shared" si="4"/>
        <v>1625187.5207777421</v>
      </c>
      <c r="H31" s="262" t="e">
        <f t="shared" si="4"/>
        <v>#VALUE!</v>
      </c>
    </row>
    <row r="32" spans="8:8">
      <c r="A32" s="248"/>
      <c r="B32" s="266"/>
      <c r="C32" s="266"/>
      <c r="D32" s="266"/>
      <c r="E32" s="266"/>
      <c r="F32" s="266"/>
      <c r="G32" s="266"/>
      <c r="H32" s="266"/>
    </row>
    <row r="33" spans="8:8">
      <c r="A33" s="260" t="s">
        <v>267</v>
      </c>
      <c r="B33" s="259">
        <f>'1.Project Cost and MOF'!E21</f>
        <v>2858924.0999999996</v>
      </c>
      <c r="C33" s="259">
        <f>B33</f>
        <v>2858924.0999999996</v>
      </c>
      <c r="D33" s="259">
        <f t="shared" si="5" ref="D33:H34">C33</f>
        <v>2858924.0999999996</v>
      </c>
      <c r="E33" s="259">
        <f t="shared" si="5"/>
        <v>2858924.0999999996</v>
      </c>
      <c r="F33" s="259">
        <f t="shared" si="5"/>
        <v>2858924.0999999996</v>
      </c>
      <c r="G33" s="259">
        <f t="shared" si="5"/>
        <v>2858924.0999999996</v>
      </c>
      <c r="H33" s="259">
        <f t="shared" si="5"/>
        <v>2858924.0999999996</v>
      </c>
    </row>
    <row r="34" spans="8:8">
      <c r="A34" s="260" t="s">
        <v>530</v>
      </c>
      <c r="B34" s="259">
        <f>'1.Project Cost and MOF'!E19</f>
        <v>1.71535446E7</v>
      </c>
      <c r="C34" s="259">
        <f>B34</f>
        <v>1.71535446E7</v>
      </c>
      <c r="D34" s="259">
        <f t="shared" si="5"/>
        <v>1.71535446E7</v>
      </c>
      <c r="E34" s="259">
        <f t="shared" si="5"/>
        <v>1.71535446E7</v>
      </c>
      <c r="F34" s="259">
        <f t="shared" si="5"/>
        <v>1.71535446E7</v>
      </c>
      <c r="G34" s="259">
        <f t="shared" si="5"/>
        <v>1.71535446E7</v>
      </c>
      <c r="H34" s="259">
        <f t="shared" si="5"/>
        <v>1.71535446E7</v>
      </c>
    </row>
    <row r="35" spans="8:8">
      <c r="A35" s="253" t="s">
        <v>268</v>
      </c>
      <c r="B35" s="259"/>
      <c r="C35" s="259"/>
      <c r="D35" s="259"/>
      <c r="E35" s="259"/>
      <c r="F35" s="259"/>
      <c r="G35" s="259"/>
      <c r="H35" s="259"/>
    </row>
    <row r="36" spans="8:8">
      <c r="A36" s="260" t="s">
        <v>269</v>
      </c>
      <c r="B36" s="259">
        <v>0.0</v>
      </c>
      <c r="C36" s="259">
        <f t="shared" si="6" ref="C36:H36">B39</f>
        <v>2305453.26350379</v>
      </c>
      <c r="D36" s="259">
        <f t="shared" si="6"/>
        <v>5787668.71505888</v>
      </c>
      <c r="E36" s="259">
        <f t="shared" si="6"/>
        <v>1.02430855337854E7</v>
      </c>
      <c r="F36" s="259">
        <f t="shared" si="6"/>
        <v>1.57666954503433E7</v>
      </c>
      <c r="G36" s="259">
        <f t="shared" si="6"/>
        <v>2.24581988650695E7</v>
      </c>
      <c r="H36" s="259">
        <f t="shared" si="6"/>
        <v>3.06239688921583E7</v>
      </c>
    </row>
    <row r="37" spans="8:8">
      <c r="A37" s="260" t="s">
        <v>270</v>
      </c>
      <c r="B37" s="259">
        <f>'6.Cons Profit &amp; Loss'!B53</f>
        <v>2305453.26350379</v>
      </c>
      <c r="C37" s="259">
        <f>'6.Cons Profit &amp; Loss'!C51</f>
        <v>3482215.45155509</v>
      </c>
      <c r="D37" s="259">
        <f>'6.Cons Profit &amp; Loss'!D51</f>
        <v>4455416.8187265005</v>
      </c>
      <c r="E37" s="259">
        <f>'6.Cons Profit &amp; Loss'!E51</f>
        <v>5523609.916557889</v>
      </c>
      <c r="F37" s="259">
        <f>'6.Cons Profit &amp; Loss'!F51</f>
        <v>6691503.41472621</v>
      </c>
      <c r="G37" s="259">
        <f>'6.Cons Profit &amp; Loss'!G51</f>
        <v>8165770.027088789</v>
      </c>
      <c r="H37" s="259">
        <f>'6.Cons Profit &amp; Loss'!H51</f>
        <v>9549101.382814892</v>
      </c>
    </row>
    <row r="38" spans="8:8">
      <c r="A38" s="260" t="s">
        <v>271</v>
      </c>
      <c r="B38" s="259"/>
      <c r="C38" s="259"/>
      <c r="D38" s="259"/>
      <c r="E38" s="259"/>
      <c r="F38" s="259"/>
      <c r="G38" s="259"/>
      <c r="H38" s="259"/>
    </row>
    <row r="39" spans="8:8">
      <c r="A39" s="260" t="s">
        <v>272</v>
      </c>
      <c r="B39" s="259">
        <f t="shared" si="7" ref="B39:H39">B36+B37-B38</f>
        <v>2305453.26350379</v>
      </c>
      <c r="C39" s="259">
        <f t="shared" si="7"/>
        <v>5787668.71505888</v>
      </c>
      <c r="D39" s="259">
        <f t="shared" si="7"/>
        <v>1.02430855337854E7</v>
      </c>
      <c r="E39" s="259">
        <f t="shared" si="7"/>
        <v>1.57666954503433E7</v>
      </c>
      <c r="F39" s="259">
        <f t="shared" si="7"/>
        <v>2.24581988650695E7</v>
      </c>
      <c r="G39" s="259">
        <f t="shared" si="7"/>
        <v>3.06239688921583E7</v>
      </c>
      <c r="H39" s="259">
        <f t="shared" si="7"/>
        <v>4.01730702749732E7</v>
      </c>
    </row>
    <row r="40" spans="8:8">
      <c r="A40" s="260"/>
      <c r="B40" s="264"/>
      <c r="C40" s="264"/>
      <c r="D40" s="264"/>
      <c r="E40" s="264"/>
      <c r="F40" s="264"/>
      <c r="G40" s="264"/>
      <c r="H40" s="264"/>
    </row>
    <row r="41" spans="8:8">
      <c r="A41" s="267" t="s">
        <v>273</v>
      </c>
      <c r="B41" s="268">
        <f t="shared" si="8" ref="B41:H41">B33+B39+B34</f>
        <v>2.2317921963503793E7</v>
      </c>
      <c r="C41" s="268">
        <f t="shared" si="8"/>
        <v>2.580013741505888E7</v>
      </c>
      <c r="D41" s="268">
        <f t="shared" si="8"/>
        <v>3.0255554233785402E7</v>
      </c>
      <c r="E41" s="268">
        <f t="shared" si="8"/>
        <v>3.57791641503433E7</v>
      </c>
      <c r="F41" s="268">
        <f t="shared" si="8"/>
        <v>4.24706675650695E7</v>
      </c>
      <c r="G41" s="268">
        <f t="shared" si="8"/>
        <v>5.06364375921583E7</v>
      </c>
      <c r="H41" s="268">
        <f t="shared" si="8"/>
        <v>6.01855389749732E7</v>
      </c>
    </row>
    <row r="42" spans="8:8">
      <c r="A42" s="248"/>
      <c r="B42" s="259"/>
      <c r="C42" s="259"/>
      <c r="D42" s="259"/>
      <c r="E42" s="259"/>
      <c r="F42" s="259"/>
      <c r="G42" s="259"/>
      <c r="H42" s="259"/>
    </row>
    <row r="43" spans="8:8">
      <c r="A43" s="261" t="s">
        <v>274</v>
      </c>
      <c r="B43" s="262">
        <f t="shared" si="9" ref="B43:H43">B31+B41</f>
        <v>3.038103548202336E7</v>
      </c>
      <c r="C43" s="262">
        <f t="shared" si="9"/>
        <v>3.277240809547644E7</v>
      </c>
      <c r="D43" s="262">
        <f t="shared" si="9"/>
        <v>3.604644265853396E7</v>
      </c>
      <c r="E43" s="262">
        <f t="shared" si="9"/>
        <v>4.029061617485119E7</v>
      </c>
      <c r="F43" s="262">
        <f t="shared" si="9"/>
        <v>4.559649059912518E7</v>
      </c>
      <c r="G43" s="262">
        <f t="shared" si="9"/>
        <v>5.226162511293604E7</v>
      </c>
      <c r="H43" s="262" t="e">
        <f t="shared" si="9"/>
        <v>#VALUE!</v>
      </c>
    </row>
    <row r="44" spans="8:8">
      <c r="A44" s="248"/>
      <c r="B44" s="269"/>
      <c r="C44" s="269"/>
      <c r="D44" s="269"/>
      <c r="E44" s="269"/>
      <c r="F44" s="269"/>
      <c r="G44" s="269"/>
      <c r="H44" s="269"/>
    </row>
    <row r="45" spans="8:8">
      <c r="A45" s="270" t="s">
        <v>275</v>
      </c>
      <c r="B45" s="271"/>
      <c r="C45" s="271"/>
      <c r="D45" s="271"/>
      <c r="E45" s="271"/>
      <c r="F45" s="271"/>
      <c r="G45" s="271"/>
      <c r="H45" s="271"/>
    </row>
    <row r="46" spans="8:8">
      <c r="A46" s="272" t="s">
        <v>276</v>
      </c>
      <c r="B46" s="273">
        <f t="shared" si="10" ref="B46:H46">B43-B20</f>
        <v>3.986060619354248E-7</v>
      </c>
      <c r="C46" s="273">
        <f t="shared" si="10"/>
        <v>3.986060619354248E-7</v>
      </c>
      <c r="D46" s="273">
        <f t="shared" si="10"/>
        <v>9.98377799987793E-7</v>
      </c>
      <c r="E46" s="273">
        <f t="shared" si="10"/>
        <v>1.1995434761047363E-6</v>
      </c>
      <c r="F46" s="273">
        <f t="shared" si="10"/>
        <v>2.1979212760925293E-6</v>
      </c>
      <c r="G46" s="273">
        <f t="shared" si="10"/>
        <v>9.98377799987793E-7</v>
      </c>
      <c r="H46" s="273" t="e">
        <f t="shared" si="10"/>
        <v>#VALUE!</v>
      </c>
    </row>
    <row r="47" spans="8:8">
      <c r="A47" s="272"/>
      <c r="B47" s="273"/>
      <c r="C47" s="273"/>
      <c r="D47" s="273"/>
      <c r="E47" s="273"/>
      <c r="F47" s="273"/>
      <c r="G47" s="273"/>
      <c r="H47" s="273"/>
    </row>
    <row r="48" spans="8:8" ht="15.75">
      <c r="A48" s="274"/>
      <c r="B48" s="275"/>
      <c r="C48" s="275"/>
      <c r="D48" s="275"/>
      <c r="E48" s="275"/>
      <c r="F48" s="275"/>
      <c r="G48" s="275"/>
      <c r="H48" s="275"/>
    </row>
    <row r="49" spans="8:8">
      <c r="B49" s="276"/>
      <c r="C49" s="276"/>
      <c r="D49" s="276"/>
      <c r="E49" s="276"/>
      <c r="F49" s="276"/>
      <c r="G49" s="276"/>
      <c r="H49" s="276"/>
    </row>
    <row r="50" spans="8:8" ht="39.6" customHeight="1">
      <c r="A50" s="277" t="s">
        <v>418</v>
      </c>
      <c r="B50" s="278"/>
      <c r="C50" s="278"/>
      <c r="D50" s="278"/>
      <c r="E50" s="278"/>
      <c r="F50" s="278"/>
      <c r="G50" s="278"/>
      <c r="H50" s="278"/>
      <c r="I50" s="278"/>
    </row>
  </sheetData>
  <mergeCells count="3">
    <mergeCell ref="A1:F1"/>
    <mergeCell ref="A2:H2"/>
    <mergeCell ref="A50:I50"/>
  </mergeCells>
  <conditionalFormatting sqref="B36:F38 B37:H37">
    <cfRule type="cellIs" operator="lessThan" priority="3" dxfId="1">
      <formula>0</formula>
    </cfRule>
  </conditionalFormatting>
  <conditionalFormatting sqref="G36:G38">
    <cfRule type="cellIs" operator="lessThan" priority="2" dxfId="2">
      <formula>0</formula>
    </cfRule>
  </conditionalFormatting>
  <conditionalFormatting sqref="H36:H38">
    <cfRule type="cellIs" operator="lessThan" priority="1" dxfId="3">
      <formula>0</formula>
    </cfRule>
  </conditionalFormatting>
  <pageMargins left="0.7" right="0.7" top="0.75" bottom="0.75" header="0.3" footer="0.3"/>
  <pageSetup paperSize="9" scale="63"/>
</worksheet>
</file>

<file path=xl/worksheets/sheet9.xml><?xml version="1.0" encoding="utf-8"?>
<worksheet xmlns:r="http://schemas.openxmlformats.org/officeDocument/2006/relationships" xmlns="http://schemas.openxmlformats.org/spreadsheetml/2006/main">
  <dimension ref="A1:K41"/>
  <sheetViews>
    <sheetView workbookViewId="0" zoomScale="80">
      <selection activeCell="H31" sqref="H31"/>
    </sheetView>
  </sheetViews>
  <sheetFormatPr defaultRowHeight="15.0" defaultColWidth="10"/>
  <cols>
    <col min="1" max="1" customWidth="1" bestFit="1" width="3.5703125" style="0"/>
    <col min="2" max="2" customWidth="1" bestFit="1" width="35.85547" style="0"/>
    <col min="3" max="3" customWidth="1" width="15.5703125" style="0"/>
    <col min="4" max="4" customWidth="1" width="15.855469" style="0"/>
    <col min="5" max="5" customWidth="1" width="14.5703125" style="0"/>
    <col min="6" max="6" customWidth="1" width="14.855469" style="0"/>
    <col min="7" max="7" customWidth="1" width="18.855469" style="0"/>
    <col min="8" max="9" customWidth="1" bestFit="1" width="14.855469" style="0"/>
  </cols>
  <sheetData>
    <row r="1" spans="8:8">
      <c r="A1" s="125"/>
      <c r="B1" s="125"/>
      <c r="C1" s="125"/>
      <c r="D1" s="125"/>
      <c r="E1" s="125"/>
      <c r="F1" s="125"/>
      <c r="G1" s="125"/>
    </row>
    <row r="2" spans="8:8" ht="18.75">
      <c r="A2" s="50" t="s">
        <v>582</v>
      </c>
      <c r="B2" s="50"/>
      <c r="C2" s="50"/>
      <c r="D2" s="50"/>
      <c r="E2" s="50"/>
      <c r="F2" s="50"/>
      <c r="G2" s="50"/>
      <c r="H2" s="50"/>
      <c r="I2" s="50"/>
      <c r="J2" s="242"/>
    </row>
    <row r="4" spans="8:8">
      <c r="A4" s="279" t="s">
        <v>232</v>
      </c>
      <c r="B4" s="279" t="s">
        <v>0</v>
      </c>
      <c r="C4" s="133" t="s">
        <v>2</v>
      </c>
      <c r="D4" s="133" t="s">
        <v>3</v>
      </c>
      <c r="E4" s="133" t="s">
        <v>4</v>
      </c>
      <c r="F4" s="133" t="s">
        <v>5</v>
      </c>
      <c r="G4" s="133" t="s">
        <v>6</v>
      </c>
      <c r="H4" s="133" t="s">
        <v>169</v>
      </c>
      <c r="I4" s="133" t="s">
        <v>168</v>
      </c>
    </row>
    <row r="5" spans="8:8">
      <c r="A5" s="280">
        <v>1.0</v>
      </c>
      <c r="B5" s="280" t="s">
        <v>7</v>
      </c>
      <c r="C5" s="281"/>
      <c r="D5" s="281"/>
      <c r="E5" s="281"/>
      <c r="F5" s="281"/>
      <c r="G5" s="281"/>
      <c r="H5" s="281"/>
      <c r="I5" s="281"/>
    </row>
    <row r="6" spans="8:8">
      <c r="A6" s="280"/>
      <c r="B6" s="282" t="s">
        <v>371</v>
      </c>
      <c r="C6" s="281">
        <f>'6.Cons Profit &amp; Loss'!B15</f>
        <v>9.8416687528125E7</v>
      </c>
      <c r="D6" s="281">
        <f>'6.Cons Profit &amp; Loss'!C15</f>
        <v>1.2025828572515625E8</v>
      </c>
      <c r="E6" s="281">
        <f>'6.Cons Profit &amp; Loss'!D15</f>
        <v>1.3896177287688282E8</v>
      </c>
      <c r="F6" s="281">
        <f>'6.Cons Profit &amp; Loss'!E15</f>
        <v>1.5923496302946916E8</v>
      </c>
      <c r="G6" s="281">
        <f>'6.Cons Profit &amp; Loss'!F15</f>
        <v>1.8118806776512188E8</v>
      </c>
      <c r="H6" s="281">
        <f>'6.Cons Profit &amp; Loss'!G15</f>
        <v>2.0493839556676626E8</v>
      </c>
      <c r="I6" s="281">
        <f>'6.Cons Profit &amp; Loss'!H15</f>
        <v>2.3061078597916222E8</v>
      </c>
    </row>
    <row r="7" spans="8:8">
      <c r="A7" s="280">
        <v>2.0</v>
      </c>
      <c r="B7" s="280" t="s">
        <v>233</v>
      </c>
      <c r="C7" s="281">
        <f>'1.Project Cost and MOF'!E21</f>
        <v>2858924.0999999996</v>
      </c>
      <c r="D7" s="281"/>
      <c r="E7" s="281"/>
      <c r="F7" s="281"/>
      <c r="G7" s="281"/>
      <c r="H7" s="281"/>
      <c r="I7" s="281"/>
    </row>
    <row r="8" spans="8:8">
      <c r="A8" s="280"/>
      <c r="B8" s="280" t="s">
        <v>294</v>
      </c>
      <c r="C8" s="281"/>
      <c r="D8" s="281"/>
      <c r="E8" s="281"/>
      <c r="F8" s="281"/>
      <c r="G8" s="281"/>
      <c r="H8" s="281"/>
      <c r="I8" s="281"/>
    </row>
    <row r="9" spans="8:8">
      <c r="A9" s="280">
        <v>3.0</v>
      </c>
      <c r="B9" s="280" t="str">
        <f>'7.Balance Sheet'!A34</f>
        <v>Smart Grant -in-Aid</v>
      </c>
      <c r="C9" s="281">
        <f>'1.Project Cost and MOF'!E19</f>
        <v>1.71535446E7</v>
      </c>
      <c r="D9" s="281"/>
      <c r="E9" s="281"/>
      <c r="F9" s="281"/>
      <c r="G9" s="281"/>
      <c r="H9" s="281"/>
      <c r="I9" s="281"/>
    </row>
    <row r="10" spans="8:8">
      <c r="A10" s="280">
        <v>4.0</v>
      </c>
      <c r="B10" s="280" t="s">
        <v>234</v>
      </c>
      <c r="C10" s="281">
        <f>'1.Project Cost and MOF'!E20</f>
        <v>8576772.299999999</v>
      </c>
      <c r="D10" s="281"/>
      <c r="E10" s="281"/>
      <c r="F10" s="281"/>
      <c r="G10" s="281"/>
      <c r="H10" s="281"/>
      <c r="I10" s="281"/>
    </row>
    <row r="11" spans="8:8">
      <c r="A11" s="280">
        <v>5.0</v>
      </c>
      <c r="B11" s="280" t="s">
        <v>235</v>
      </c>
      <c r="C11" s="281">
        <f>'5.Closing Stock &amp; W Capital'!E55*75%</f>
        <v>5065856.501189483</v>
      </c>
      <c r="D11" s="281">
        <f>'5.Closing Stock &amp; W Capital'!F55</f>
        <v>7998663.139880979</v>
      </c>
      <c r="E11" s="281">
        <f>'5.Closing Stock &amp; W Capital'!G55</f>
        <v>9239837.748913571</v>
      </c>
      <c r="F11" s="281">
        <f>'5.Closing Stock &amp; W Capital'!H55</f>
        <v>1.058513316099982E7</v>
      </c>
      <c r="G11" s="281">
        <f>'5.Closing Stock &amp; W Capital'!I55</f>
        <v>1.204185851992232E7</v>
      </c>
      <c r="H11" s="281">
        <f>'5.Closing Stock &amp; W Capital'!J55</f>
        <v>1.3617793581834689E7</v>
      </c>
      <c r="I11" s="281">
        <f>'5.Closing Stock &amp; W Capital'!K55</f>
        <v>1.532121750363837E7</v>
      </c>
    </row>
    <row r="12" spans="8:8">
      <c r="A12" s="280"/>
      <c r="B12" s="280" t="s">
        <v>236</v>
      </c>
      <c r="C12" s="283">
        <f t="shared" si="0" ref="C12:I12">SUM(C6:C11)</f>
        <v>1.3207178502931449E8</v>
      </c>
      <c r="D12" s="283">
        <f t="shared" si="0"/>
        <v>1.2825694886503723E8</v>
      </c>
      <c r="E12" s="283">
        <f t="shared" si="0"/>
        <v>1.4820161062579638E8</v>
      </c>
      <c r="F12" s="283">
        <f t="shared" si="0"/>
        <v>1.6982009619046897E8</v>
      </c>
      <c r="G12" s="283">
        <f t="shared" si="0"/>
        <v>1.932299262850442E8</v>
      </c>
      <c r="H12" s="283">
        <f t="shared" si="0"/>
        <v>2.1855618914860094E8</v>
      </c>
      <c r="I12" s="283">
        <f t="shared" si="0"/>
        <v>2.4593200348280057E8</v>
      </c>
    </row>
    <row r="13" spans="8:8">
      <c r="A13" s="284" t="s">
        <v>237</v>
      </c>
      <c r="B13" s="284"/>
      <c r="C13" s="285"/>
      <c r="D13" s="285"/>
      <c r="E13" s="285"/>
      <c r="F13" s="285"/>
      <c r="G13" s="285"/>
      <c r="H13" s="285"/>
      <c r="I13" s="285"/>
    </row>
    <row r="14" spans="8:8">
      <c r="A14" s="280">
        <v>1.0</v>
      </c>
      <c r="B14" s="280" t="s">
        <v>238</v>
      </c>
      <c r="C14" s="285"/>
      <c r="D14" s="285"/>
      <c r="E14" s="285"/>
      <c r="F14" s="285"/>
      <c r="G14" s="285"/>
      <c r="H14" s="285"/>
      <c r="I14" s="285"/>
    </row>
    <row r="15" spans="8:8">
      <c r="A15" s="286" t="s">
        <v>239</v>
      </c>
      <c r="B15" s="285" t="str">
        <f>'[1]Total Cost of Project'!C3</f>
        <v>Land and Building</v>
      </c>
      <c r="C15" s="287">
        <f>'1.Project Cost and MOF'!D5</f>
        <v>2.2109604E7</v>
      </c>
      <c r="D15" s="287"/>
      <c r="E15" s="287"/>
      <c r="F15" s="287"/>
      <c r="G15" s="287"/>
      <c r="H15" s="287"/>
      <c r="I15" s="287"/>
    </row>
    <row r="16" spans="8:8">
      <c r="A16" s="286" t="s">
        <v>240</v>
      </c>
      <c r="B16" s="288" t="str">
        <f>'[1]Total Cost of Project'!C4</f>
        <v>Machinery and Equipment</v>
      </c>
      <c r="C16" s="287">
        <f>'1.Project Cost and MOF'!D6</f>
        <v>5118245.0</v>
      </c>
      <c r="D16" s="287"/>
      <c r="E16" s="287"/>
      <c r="F16" s="287"/>
      <c r="G16" s="287"/>
      <c r="H16" s="287"/>
      <c r="I16" s="287"/>
    </row>
    <row r="17" spans="8:8">
      <c r="A17" s="286" t="s">
        <v>277</v>
      </c>
      <c r="B17" s="288" t="s">
        <v>336</v>
      </c>
      <c r="C17" s="287">
        <f>'1.Project Cost and MOF'!D7</f>
        <v>0.0</v>
      </c>
      <c r="D17" s="287"/>
      <c r="E17" s="287"/>
      <c r="F17" s="287"/>
      <c r="G17" s="287"/>
      <c r="H17" s="287"/>
      <c r="I17" s="287"/>
    </row>
    <row r="18" spans="8:8">
      <c r="A18" s="286" t="s">
        <v>279</v>
      </c>
      <c r="B18" s="288" t="s">
        <v>338</v>
      </c>
      <c r="C18" s="287">
        <f>'1.Project Cost and MOF'!D8</f>
        <v>0.0</v>
      </c>
      <c r="D18" s="287"/>
      <c r="E18" s="287"/>
      <c r="F18" s="287"/>
      <c r="G18" s="287"/>
      <c r="H18" s="287"/>
      <c r="I18" s="287"/>
    </row>
    <row r="19" spans="8:8">
      <c r="A19" s="286" t="s">
        <v>339</v>
      </c>
      <c r="B19" s="288" t="s">
        <v>278</v>
      </c>
      <c r="C19" s="287">
        <f>'1.Project Cost and MOF'!D9</f>
        <v>0.0</v>
      </c>
      <c r="D19" s="281"/>
      <c r="E19" s="281"/>
      <c r="F19" s="281"/>
      <c r="G19" s="281"/>
      <c r="H19" s="281"/>
      <c r="I19" s="281"/>
    </row>
    <row r="20" spans="8:8">
      <c r="A20" s="286" t="s">
        <v>340</v>
      </c>
      <c r="B20" s="288" t="s">
        <v>280</v>
      </c>
      <c r="C20" s="287">
        <f>'1.Project Cost and MOF'!D10</f>
        <v>1361392.0</v>
      </c>
      <c r="D20" s="281"/>
      <c r="E20" s="281"/>
      <c r="F20" s="281"/>
      <c r="G20" s="281"/>
      <c r="H20" s="281"/>
      <c r="I20" s="281"/>
    </row>
    <row r="21" spans="8:8">
      <c r="A21" s="280">
        <v>2.0</v>
      </c>
      <c r="B21" s="280" t="s">
        <v>241</v>
      </c>
      <c r="C21" s="285"/>
      <c r="D21" s="285"/>
      <c r="E21" s="285"/>
      <c r="F21" s="285"/>
      <c r="G21" s="285"/>
      <c r="H21" s="285"/>
      <c r="I21" s="285"/>
    </row>
    <row r="22" spans="8:8">
      <c r="A22" s="286" t="s">
        <v>239</v>
      </c>
      <c r="B22" s="285" t="s">
        <v>314</v>
      </c>
      <c r="C22" s="289">
        <f>'6.Cons Profit &amp; Loss'!B25</f>
        <v>8.97975763027875E7</v>
      </c>
      <c r="D22" s="289">
        <f>'6.Cons Profit &amp; Loss'!C25</f>
        <v>1.0946557300888175E8</v>
      </c>
      <c r="E22" s="289">
        <f>'6.Cons Profit &amp; Loss'!D25</f>
        <v>1.2648759038846204E8</v>
      </c>
      <c r="F22" s="289">
        <f>'6.Cons Profit &amp; Loss'!E25</f>
        <v>1.4493814557347938E8</v>
      </c>
      <c r="G22" s="289">
        <f>'6.Cons Profit &amp; Loss'!F25</f>
        <v>1.649175373010274E8</v>
      </c>
      <c r="H22" s="289">
        <f>'6.Cons Profit &amp; Loss'!G25</f>
        <v>1.865325228373958E8</v>
      </c>
      <c r="I22" s="289">
        <f>'6.Cons Profit &amp; Loss'!H25</f>
        <v>2.098967130841483E8</v>
      </c>
    </row>
    <row r="23" spans="8:8">
      <c r="A23" s="286" t="s">
        <v>240</v>
      </c>
      <c r="B23" s="285" t="s">
        <v>312</v>
      </c>
      <c r="C23" s="281">
        <f>'6.Cons Profit &amp; Loss'!B36</f>
        <v>3607429.689341</v>
      </c>
      <c r="D23" s="281">
        <f>'6.Cons Profit &amp; Loss'!C36</f>
        <v>3792750.908682</v>
      </c>
      <c r="E23" s="281">
        <f>'6.Cons Profit &amp; Loss'!D36</f>
        <v>3996375.4780230005</v>
      </c>
      <c r="F23" s="281">
        <f>'6.Cons Profit &amp; Loss'!E36</f>
        <v>4219968.564864</v>
      </c>
      <c r="G23" s="281">
        <f>'6.Cons Profit &amp; Loss'!F36</f>
        <v>4465353.595080001</v>
      </c>
      <c r="H23" s="281">
        <f>'6.Cons Profit &amp; Loss'!G36</f>
        <v>4734527.665839751</v>
      </c>
      <c r="I23" s="281">
        <f>'6.Cons Profit &amp; Loss'!H36</f>
        <v>5029678.47917044</v>
      </c>
    </row>
    <row r="24" spans="8:8">
      <c r="A24" s="290">
        <v>3.0</v>
      </c>
      <c r="B24" s="280" t="s">
        <v>528</v>
      </c>
      <c r="C24" s="281"/>
      <c r="D24" s="281"/>
      <c r="E24" s="281"/>
      <c r="F24" s="281"/>
      <c r="G24" s="281"/>
      <c r="H24" s="281"/>
      <c r="I24" s="281"/>
    </row>
    <row r="25" spans="8:8">
      <c r="A25" s="286"/>
      <c r="B25" s="285" t="s">
        <v>242</v>
      </c>
      <c r="C25" s="281">
        <f>SUM('4.TL repayment sch'!E10:E21)</f>
        <v>513658.78148044273</v>
      </c>
      <c r="D25" s="281">
        <f>SUM('4.TL repayment sch'!E22:E33)</f>
        <v>1090842.8381020203</v>
      </c>
      <c r="E25" s="281">
        <f>SUM('4.TL repayment sch'!E34:E45)</f>
        <v>1181382.255668993</v>
      </c>
      <c r="F25" s="281">
        <f>SUM('4.TL repayment sch'!E46:E57)</f>
        <v>1279436.400240664</v>
      </c>
      <c r="G25" s="281">
        <f>SUM('4.TL repayment sch'!E58:E69)</f>
        <v>1385628.9904522155</v>
      </c>
      <c r="H25" s="281">
        <f>SUM('4.TL repayment sch'!E70:E81)</f>
        <v>1500635.5132779386</v>
      </c>
      <c r="I25" s="281">
        <f>SUM('4.TL repayment sch'!E82:E93)</f>
        <v>1625187.5207778423</v>
      </c>
    </row>
    <row r="26" spans="8:8">
      <c r="A26" s="286"/>
      <c r="B26" s="285" t="s">
        <v>243</v>
      </c>
      <c r="C26" s="281">
        <f>SUM('4.TL repayment sch'!D10:D21)</f>
        <v>677647.1669297213</v>
      </c>
      <c r="D26" s="281">
        <f>SUM('4.TL repayment sch'!D22:D33)</f>
        <v>605627.2747183077</v>
      </c>
      <c r="E26" s="281">
        <f>SUM('4.TL repayment sch'!D34:D45)</f>
        <v>515087.8571513351</v>
      </c>
      <c r="F26" s="281">
        <f>SUM('4.TL repayment sch'!D46:D57)</f>
        <v>417033.71257966437</v>
      </c>
      <c r="G26" s="281">
        <f>SUM('4.TL repayment sch'!D58:D69)</f>
        <v>310841.12236811226</v>
      </c>
      <c r="H26" s="281">
        <f>SUM('4.TL repayment sch'!D70:D81)</f>
        <v>195834.5995423894</v>
      </c>
      <c r="I26" s="281">
        <f>SUM('4.TL repayment sch'!D82:D93)</f>
        <v>71282.59204248573</v>
      </c>
    </row>
    <row r="27" spans="8:8">
      <c r="A27" s="286"/>
      <c r="B27" s="285" t="s">
        <v>244</v>
      </c>
      <c r="C27" s="281">
        <f t="shared" si="1" ref="C27:I27">C11</f>
        <v>5065856.501189483</v>
      </c>
      <c r="D27" s="281">
        <f t="shared" si="1"/>
        <v>7998663.139880979</v>
      </c>
      <c r="E27" s="281">
        <f t="shared" si="1"/>
        <v>9239837.748913571</v>
      </c>
      <c r="F27" s="281">
        <f t="shared" si="1"/>
        <v>1.058513316099982E7</v>
      </c>
      <c r="G27" s="281">
        <f t="shared" si="1"/>
        <v>1.204185851992232E7</v>
      </c>
      <c r="H27" s="281">
        <f t="shared" si="1"/>
        <v>1.3617793581834689E7</v>
      </c>
      <c r="I27" s="281">
        <f t="shared" si="1"/>
        <v>1.532121750363837E7</v>
      </c>
    </row>
    <row r="28" spans="8:8">
      <c r="A28" s="286"/>
      <c r="B28" s="285" t="s">
        <v>245</v>
      </c>
      <c r="C28" s="291">
        <f>C27*12%</f>
        <v>607902.780142738</v>
      </c>
      <c r="D28" s="291">
        <f t="shared" si="2" ref="D28:G28">D27*12%</f>
        <v>959839.5767857175</v>
      </c>
      <c r="E28" s="291">
        <f t="shared" si="2"/>
        <v>1108780.5298696286</v>
      </c>
      <c r="F28" s="291">
        <f t="shared" si="2"/>
        <v>1270215.9793199783</v>
      </c>
      <c r="G28" s="291">
        <f t="shared" si="2"/>
        <v>1445023.0223906783</v>
      </c>
      <c r="H28" s="291">
        <f t="shared" si="3" ref="H28:I28">H27*12%</f>
        <v>1634135.2298201625</v>
      </c>
      <c r="I28" s="291">
        <f t="shared" si="3"/>
        <v>1838546.1004366043</v>
      </c>
    </row>
    <row r="29" spans="8:8">
      <c r="A29" s="280">
        <v>4.0</v>
      </c>
      <c r="B29" s="280" t="s">
        <v>246</v>
      </c>
      <c r="C29" s="281">
        <f>'6.Cons Profit &amp; Loss'!B50</f>
        <v>123540.57012025047</v>
      </c>
      <c r="D29" s="281">
        <f>'6.Cons Profit &amp; Loss'!C50</f>
        <v>655141.7492328695</v>
      </c>
      <c r="E29" s="281">
        <f>'6.Cons Profit &amp; Loss'!D50</f>
        <v>1101384.049350528</v>
      </c>
      <c r="F29" s="281">
        <f>'6.Cons Profit &amp; Loss'!E50</f>
        <v>1568851.5273684813</v>
      </c>
      <c r="G29" s="281">
        <f>'6.Cons Profit &amp; Loss'!F50</f>
        <v>2060671.5542299952</v>
      </c>
      <c r="H29" s="281">
        <f>'6.Cons Profit &amp; Loss'!G50</f>
        <v>2650745.851778705</v>
      </c>
      <c r="I29" s="281">
        <f>'6.Cons Profit &amp; Loss'!H50</f>
        <v>3200604.9852500074</v>
      </c>
    </row>
    <row r="30" spans="8:8">
      <c r="A30" s="280"/>
      <c r="B30" s="280" t="s">
        <v>247</v>
      </c>
      <c r="C30" s="292">
        <f t="shared" si="4" ref="C30:I30">SUM(C15:C29)</f>
        <v>1.2898285279199113E8</v>
      </c>
      <c r="D30" s="292">
        <f t="shared" si="4"/>
        <v>1.2456843849628367E8</v>
      </c>
      <c r="E30" s="292">
        <f t="shared" si="4"/>
        <v>1.436304383074391E8</v>
      </c>
      <c r="F30" s="292">
        <f t="shared" si="4"/>
        <v>1.6427878491885203E8</v>
      </c>
      <c r="G30" s="292">
        <f t="shared" si="4"/>
        <v>1.8662691410547072E8</v>
      </c>
      <c r="H30" s="292">
        <f t="shared" si="4"/>
        <v>2.1086619527948946E8</v>
      </c>
      <c r="I30" s="292">
        <f t="shared" si="4"/>
        <v>2.36983230265464E8</v>
      </c>
    </row>
    <row r="31" spans="8:8">
      <c r="A31" s="280"/>
      <c r="B31" s="280" t="s">
        <v>248</v>
      </c>
      <c r="C31" s="292">
        <f t="shared" si="5" ref="C31:I31">C12-C30</f>
        <v>3088932.237323001</v>
      </c>
      <c r="D31" s="292">
        <f t="shared" si="5"/>
        <v>3688510.368753001</v>
      </c>
      <c r="E31" s="292">
        <f t="shared" si="5"/>
        <v>4571172.318356991</v>
      </c>
      <c r="F31" s="292">
        <f t="shared" si="5"/>
        <v>5541311.271616995</v>
      </c>
      <c r="G31" s="292">
        <f t="shared" si="5"/>
        <v>6603012.179573029</v>
      </c>
      <c r="H31" s="292">
        <f t="shared" si="5"/>
        <v>7689993.869111985</v>
      </c>
      <c r="I31" s="292">
        <f t="shared" si="5"/>
        <v>8948773.217336982</v>
      </c>
    </row>
    <row r="32" spans="8:8">
      <c r="A32" s="290"/>
      <c r="B32" s="285" t="s">
        <v>249</v>
      </c>
      <c r="C32" s="285"/>
      <c r="D32" s="293">
        <f t="shared" si="6" ref="D32:I32">C33</f>
        <v>3088932.237323</v>
      </c>
      <c r="E32" s="293">
        <f t="shared" si="6"/>
        <v>6777442.606076</v>
      </c>
      <c r="F32" s="293">
        <f t="shared" si="6"/>
        <v>1.134861492443299E7</v>
      </c>
      <c r="G32" s="293">
        <f t="shared" si="6"/>
        <v>1.688992619605E7</v>
      </c>
      <c r="H32" s="293">
        <f t="shared" si="6"/>
        <v>2.349293837562303E7</v>
      </c>
      <c r="I32" s="293">
        <f t="shared" si="6"/>
        <v>3.1182932244734988E7</v>
      </c>
    </row>
    <row r="33" spans="8:8">
      <c r="A33" s="280"/>
      <c r="B33" s="294" t="s">
        <v>250</v>
      </c>
      <c r="C33" s="292">
        <f t="shared" si="7" ref="C33:I33">C31+C32</f>
        <v>3088932.237323</v>
      </c>
      <c r="D33" s="292">
        <f t="shared" si="7"/>
        <v>6777442.606076</v>
      </c>
      <c r="E33" s="292">
        <f t="shared" si="7"/>
        <v>1.134861492443299E7</v>
      </c>
      <c r="F33" s="292">
        <f t="shared" si="7"/>
        <v>1.688992619605E7</v>
      </c>
      <c r="G33" s="292">
        <f t="shared" si="7"/>
        <v>2.349293837562303E7</v>
      </c>
      <c r="H33" s="292">
        <f t="shared" si="7"/>
        <v>3.1182932244734988E7</v>
      </c>
      <c r="I33" s="292">
        <f t="shared" si="7"/>
        <v>4.013170546207198E7</v>
      </c>
    </row>
    <row r="35" spans="8:8" ht="40.35" customHeight="1">
      <c r="A35" s="295" t="s">
        <v>419</v>
      </c>
      <c r="B35" s="295"/>
      <c r="C35" s="295"/>
      <c r="D35" s="295"/>
      <c r="E35" s="295"/>
      <c r="F35" s="295"/>
      <c r="G35" s="295"/>
      <c r="H35" s="295"/>
      <c r="I35" s="295"/>
      <c r="J35" s="295"/>
    </row>
    <row r="37" spans="8:8">
      <c r="C37" s="237"/>
    </row>
    <row r="38" spans="8:8">
      <c r="C38" s="237"/>
    </row>
    <row r="39" spans="8:8">
      <c r="C39" s="237"/>
    </row>
    <row r="40" spans="8:8">
      <c r="C40" s="237"/>
    </row>
    <row r="41" spans="8:8">
      <c r="C41" s="237"/>
    </row>
  </sheetData>
  <mergeCells count="4">
    <mergeCell ref="A1:G1"/>
    <mergeCell ref="A2:I2"/>
    <mergeCell ref="A13:B13"/>
    <mergeCell ref="A35:J35"/>
  </mergeCells>
  <pageMargins left="0.7" right="0.7" top="0.75" bottom="0.75" header="0.3" footer="0.3"/>
  <pageSetup paperSize="9" scale="57"/>
</worksheet>
</file>

<file path=docProps/app.xml><?xml version="1.0" encoding="utf-8"?>
<Properties xmlns="http://schemas.openxmlformats.org/officeDocument/2006/extended-properties">
  <Application>Kingsoft Office</Application>
  <DocSecurity>0</DocSecurity>
  <ScaleCrop>0</ScaleCrop>
  <LinksUpToDate>0</LinksUpToDate>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SM-A715F</dc:creator>
  <dcterms:created xsi:type="dcterms:W3CDTF">2006-09-15T18:30:00Z</dcterms:created>
  <dcterms:modified xsi:type="dcterms:W3CDTF">2022-08-19T10:01:11Z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af7709e31bc04f4a9c4c0362ba24b1b3</vt:lpwstr>
  </property>
</Properties>
</file>